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tabRatio="905" activeTab="1"/>
  </bookViews>
  <sheets>
    <sheet name="คำชี้แจงการกรอกภาระงาน" sheetId="1" r:id="rId1"/>
    <sheet name="ข้อมูลผู้กรอกและสรุปภาระงาน" sheetId="2" r:id="rId2"/>
    <sheet name="ภาระงานการสอนโดยตรงในเวลา" sheetId="3" r:id="rId3"/>
    <sheet name="ภาระงานการสอนโดยตรงนอกเวลา" sheetId="4" r:id="rId4"/>
    <sheet name="ภาระงานการสอนอื่นๆ" sheetId="5" r:id="rId5"/>
    <sheet name="ปริญญานิพนธ์ พัฒนานิสิตและอื่นๆ" sheetId="6" r:id="rId6"/>
    <sheet name="ภาระงานวิจัย" sheetId="7" r:id="rId7"/>
    <sheet name="ภาระงานบริการวิชาการ" sheetId="8" r:id="rId8"/>
    <sheet name="ภาระงานทำนุบำรุงศิลปวัฒนธรรม" sheetId="9" r:id="rId9"/>
    <sheet name="ภาระงานบริหาร" sheetId="10" r:id="rId10"/>
    <sheet name="สมรรถนะ" sheetId="11" r:id="rId11"/>
    <sheet name="แบบสรุปรายงาน" sheetId="12" r:id="rId12"/>
    <sheet name="แบบสรุปผลการประเมิน" sheetId="13" r:id="rId13"/>
  </sheets>
  <definedNames>
    <definedName name="_xlnm.Print_Titles" localSheetId="5">'ปริญญานิพนธ์ พัฒนานิสิตและอื่นๆ'!$37:$38</definedName>
    <definedName name="_xlnm.Print_Titles" localSheetId="3">'ภาระงานการสอนโดยตรงนอกเวลา'!$64:$65</definedName>
    <definedName name="_xlnm.Print_Titles" localSheetId="2">'ภาระงานการสอนโดยตรงในเวลา'!$64:$65</definedName>
    <definedName name="_xlnm.Print_Titles" localSheetId="4">'ภาระงานการสอนอื่นๆ'!$23:$24</definedName>
    <definedName name="_xlnm.Print_Titles" localSheetId="8">'ภาระงานทำนุบำรุงศิลปวัฒนธรรม'!$9:$10</definedName>
    <definedName name="_xlnm.Print_Titles" localSheetId="7">'ภาระงานบริการวิชาการ'!$48:$49</definedName>
    <definedName name="_xlnm.Print_Titles" localSheetId="9">'ภาระงานบริหาร'!$68:$69</definedName>
    <definedName name="_xlnm.Print_Titles" localSheetId="6">'ภาระงานวิจัย'!$70:$71</definedName>
    <definedName name="กลุ่มงาน">'ข้อมูลผู้กรอกและสรุปภาระงาน'!$B$3:$B$8</definedName>
    <definedName name="กลุ่มภาระงาน">'ข้อมูลผู้กรอกและสรุปภาระงาน'!$B$4:$B$8</definedName>
    <definedName name="การสอนบรรยาย">#REF!</definedName>
    <definedName name="ในเวลาราชการ" localSheetId="5">'ปริญญานิพนธ์ พัฒนานิสิตและอื่นๆ'!#REF!</definedName>
    <definedName name="ในเวลาราชการ" localSheetId="3">'ภาระงานการสอนโดยตรงนอกเวลา'!$Q$2:$Q$4</definedName>
    <definedName name="ในเวลาราชการ" localSheetId="4">'ภาระงานการสอนอื่นๆ'!#REF!</definedName>
    <definedName name="ในเวลาราชการ">'ภาระงานการสอนโดยตรงในเวลา'!$Q$2:$Q$4</definedName>
    <definedName name="ภาระงานการสอน" localSheetId="5">'ปริญญานิพนธ์ พัฒนานิสิตและอื่นๆ'!$B$1:$B$30</definedName>
    <definedName name="ภาระงานการสอน" localSheetId="3">'ภาระงานการสอนโดยตรงนอกเวลา'!$B$1:$B$54</definedName>
    <definedName name="ภาระงานการสอน" localSheetId="2">'ภาระงานการสอนโดยตรงในเวลา'!$B$1:$B$54</definedName>
    <definedName name="ภาระงานการสอน" localSheetId="4">'ภาระงานการสอนอื่นๆ'!$B$1:$B$16</definedName>
    <definedName name="ภาระงานการสอน">#REF!</definedName>
    <definedName name="ภาระงานของผู้บริหาร">'ภาระงานบริหาร'!$B$1:$B$61</definedName>
    <definedName name="ภาระงานด้านการบริการวิชาการ">#REF!</definedName>
    <definedName name="ภาระงานด้านการบริหาร">#REF!</definedName>
    <definedName name="ภาระงานด้านการวิจัยงานสร้างสรรค์และผลงานวิชาการ">#REF!</definedName>
    <definedName name="ภาระงานด้านการสอนและการพัฒนานิสิต">#REF!</definedName>
    <definedName name="ภาระงานด้านทำนุบำรุงศิลปวัฒนธรรม">#REF!</definedName>
    <definedName name="ภาระงานทำนุบำรุงศิลปวัฒนธรรม">'ภาระงานทำนุบำรุงศิลปวัฒนธรรม'!$B$1:$B$2</definedName>
    <definedName name="ภาระงานบริการวิชาการแก่สังคม">'ภาระงานบริการวิชาการ'!$B$1:$B$41</definedName>
    <definedName name="ภาระงานบริหาร">'ภาระงานบริหาร'!$B$1:$B$61</definedName>
    <definedName name="ภาระงานวิจัย">'ภาระงานวิจัย'!$B$1:$B$63</definedName>
    <definedName name="ภาระงานสอนกลุ่มใหญ่" localSheetId="5">#REF!</definedName>
    <definedName name="ภาระงานสอนกลุ่มใหญ่" localSheetId="3">#REF!</definedName>
    <definedName name="ภาระงานสอนกลุ่มใหญ่" localSheetId="2">#REF!</definedName>
    <definedName name="ภาระงานสอนกลุ่มใหญ่" localSheetId="4">#REF!</definedName>
    <definedName name="ภาระงานสอนกลุ่มใหญ่">#REF!</definedName>
    <definedName name="ภาระงานหลัก">#REF!</definedName>
    <definedName name="ระดับการศึกษา">'ภาระงานการสอนโดยตรงในเวลา'!$Q$3:$Q$4</definedName>
    <definedName name="ระดับการศึกษา1">'ภาระงานการสอนโดยตรงในเวลา'!$Q$3:$Q$5</definedName>
    <definedName name="ระดับการศึกษา2">'ภาระงานการสอนโดยตรงนอกเวลา'!$Q$5:$Q$7</definedName>
    <definedName name="เวลา" localSheetId="5">'ปริญญานิพนธ์ พัฒนานิสิตและอื่นๆ'!#REF!</definedName>
    <definedName name="เวลา" localSheetId="3">'ภาระงานการสอนโดยตรงนอกเวลา'!$Q$2:$Q$4</definedName>
    <definedName name="เวลา" localSheetId="4">'ภาระงานการสอนอื่นๆ'!#REF!</definedName>
    <definedName name="เวลา">'ภาระงานการสอนโดยตรงในเวลา'!$Q$2:$Q$4</definedName>
  </definedNames>
  <calcPr fullCalcOnLoad="1"/>
</workbook>
</file>

<file path=xl/sharedStrings.xml><?xml version="1.0" encoding="utf-8"?>
<sst xmlns="http://schemas.openxmlformats.org/spreadsheetml/2006/main" count="2448" uniqueCount="849">
  <si>
    <t>ภาระงานของผู้บริหาร</t>
  </si>
  <si>
    <t>ลำดับที่</t>
  </si>
  <si>
    <t>ภาระงาน</t>
  </si>
  <si>
    <t>เอกสารอ้างอิง</t>
  </si>
  <si>
    <t>คะแนนรวมภาระงาน</t>
  </si>
  <si>
    <t>ระบุรายละเอียดที่ต้องการ</t>
  </si>
  <si>
    <t>หน่วยนับ</t>
  </si>
  <si>
    <t>คะแนนภาระงาน</t>
  </si>
  <si>
    <t>ภาระงานทำนุบำรุงศิลปวัฒนธรรม</t>
  </si>
  <si>
    <t>รวมภาระงาน</t>
  </si>
  <si>
    <t>ผู้รายงานภาระงาน</t>
  </si>
  <si>
    <t>หัวหน้าภาควิชา/สาขาวิชา</t>
  </si>
  <si>
    <t>คณบดี</t>
  </si>
  <si>
    <t>รองคณบดี</t>
  </si>
  <si>
    <t>ระบุตำแหน่ง</t>
  </si>
  <si>
    <t>ต่อสัปดาห์</t>
  </si>
  <si>
    <t>ภาระงานรายสัปดาห์</t>
  </si>
  <si>
    <t>ภาระงานรายครึ่งปี</t>
  </si>
  <si>
    <t>ผู้ช่วยคณบดี</t>
  </si>
  <si>
    <t>ภาระงานวิจัย</t>
  </si>
  <si>
    <t>ภาระงานการสอน</t>
  </si>
  <si>
    <t>ภาระงานบริการวิชาการแก่สังคม</t>
  </si>
  <si>
    <t>หน่วยงาน</t>
  </si>
  <si>
    <t>ชื่อ</t>
  </si>
  <si>
    <t>อธิการบดี</t>
  </si>
  <si>
    <t>รองอธิการบดี</t>
  </si>
  <si>
    <t>ผู้ช่วยอธิการบดี</t>
  </si>
  <si>
    <t>หัวภาควิชา/หัวหน้าสาขาวิชา</t>
  </si>
  <si>
    <t>ผู้อำนวยการโรงเรียน</t>
  </si>
  <si>
    <t>ผู้อำนวยการศูนย์/สำนัก</t>
  </si>
  <si>
    <t>รองผู้อำนวยการศูนย์/สำนัก</t>
  </si>
  <si>
    <t>รองหัวหน้าภาควิชา/สาขาวิชา</t>
  </si>
  <si>
    <t>รองผู้อำนวยการโรงเรียน</t>
  </si>
  <si>
    <t>ประธานกรรมการบริหาร/ผู้อำนวยการบัณฑิตศึกษา</t>
  </si>
  <si>
    <t>ผู้ประสานงานหลักสูตร</t>
  </si>
  <si>
    <t>หัวหน้าโปรแกรม</t>
  </si>
  <si>
    <t>ผู้ช่วยผู้อำนวยการ</t>
  </si>
  <si>
    <t>หัวหน้าแผนก/ฝ่าย/สาขา</t>
  </si>
  <si>
    <t>ประธานกรรมการ(ดำเนินงานต่อเนื่อง)</t>
  </si>
  <si>
    <t>กรรมการและเลขานุการ(ดำเนินงานต่อเนื่อง)</t>
  </si>
  <si>
    <t>กรรมการและผู้ช่วยเลขานุการ(ดำเนินงานต่อเนื่อง)</t>
  </si>
  <si>
    <t>กรรมการ(ดำเนินงานต่อเนื่อง)</t>
  </si>
  <si>
    <t>ที่ปรึกษา(การประชุม)</t>
  </si>
  <si>
    <t>ประธานกรรมการ(ดำเนินงานเป็นครั้งคราว)</t>
  </si>
  <si>
    <t>กรรมการและเลขานุการ(ดำเนินงานเป็นครั้งคราว)</t>
  </si>
  <si>
    <t>กรรมการและผู้ช่วยเลขานุการ(ดำเนินงานเป็นครั้งคราว)</t>
  </si>
  <si>
    <t>กรรมการ(ดำเนินงานเป็นครั้งคราว)</t>
  </si>
  <si>
    <t>ประธานกรรมการตรวจการจ้าง วงเงิน&lt;10ล้านบาท</t>
  </si>
  <si>
    <t>กรรมการและเลขานุการตรวจการจ้าง วงเงิน &lt; 10 ล้านบาท</t>
  </si>
  <si>
    <t>กรรมการตรวจการจ้าง วงเงิน &lt; 10 ล้านบาท</t>
  </si>
  <si>
    <t>ประธานกรรมการตรวจการจ้าง วงเงิน10-100 ล้านบาท</t>
  </si>
  <si>
    <t>กรรมการและเลขานุการตรวจการจ้าง วงเงิน10-100 ล้านบาท</t>
  </si>
  <si>
    <t>กรรมการตรวจการจ้าง วงเงิน10-100 ล้านบาท</t>
  </si>
  <si>
    <t>ประธานกรรมการตรวจการจ้าง วงเงิน &gt;100 ล้านบาท</t>
  </si>
  <si>
    <t>กรรมการและเลขานุการตรวจการจ้าง วงเงิน&gt;100 ล้านบาท</t>
  </si>
  <si>
    <t>กรรมการตรวจการจ้าง วงเงิน &gt;100 ล้านบาท</t>
  </si>
  <si>
    <t>ประธานกรรมการตรวจรับวัสดุ วงเงิน &lt;2 แสนบาท</t>
  </si>
  <si>
    <t>กรรมการและเลขานุการตรวจรับวัสดุ วงเงิน &lt;2 แสนบาท</t>
  </si>
  <si>
    <t>กรรมการตรวจรับวัสดุ วงเงิน &lt;2 แสนบาท</t>
  </si>
  <si>
    <t>ประธานกรรมการตรวจรับวัสดุ วงเงิน 2 แสน - 1 ล้านบาท</t>
  </si>
  <si>
    <t>กรรมการและเลขานุการตรวจรับวัสดุ วงเงิน 2 แสน - 1 ล้านบาท</t>
  </si>
  <si>
    <t>กรรมการตรวจรับวัสดุ วงเงิน 2 แสน - 1 ล้านบาท</t>
  </si>
  <si>
    <t>ประธานกรรมการตรวจรับวัสดุ วงเงิน &gt; 1 ล้านบาท</t>
  </si>
  <si>
    <t>กรรมการและเลขานุการตรวจรับวัสดุ วงเงิน &gt; 1 ล้านบาท</t>
  </si>
  <si>
    <t>กรรมการตรวจรับวัสดุ วงเงิน &gt; 1 ล้านบาท</t>
  </si>
  <si>
    <t>ระบุวัน-เวลา</t>
  </si>
  <si>
    <t>ปริมาณภาระงาน</t>
  </si>
  <si>
    <t>หน่วย</t>
  </si>
  <si>
    <t>การเข้าร่วมกิจกรรมการทำนุบำรุงศิลปวัฒนธรรม</t>
  </si>
  <si>
    <t>ระบุวันเวลาและชื่อโครงการ</t>
  </si>
  <si>
    <t>การเป็นคณะกรรมการหน่วยงานภายนอกคณะ/มหาวิทยาลัย เช่นกรรมการวิชาการ กรรมการวิชาชีพ</t>
  </si>
  <si>
    <t>การเผยแพร่วิชาการทางโทรทัศน์</t>
  </si>
  <si>
    <t>การเผยแพร่วิชาการทางวิทยุ/เว็บไซต์</t>
  </si>
  <si>
    <t>บรรณาธิการวารสารระดับชาติที่ได้รับการรับรอง</t>
  </si>
  <si>
    <t>กองบรรณาธิการวารสารระดับชาติที่ได้รับการรับรอง</t>
  </si>
  <si>
    <t>บรรณาธิการวารสารระดับนานาชาติ</t>
  </si>
  <si>
    <t>การจัดฝึกอบรม สัมมนา ภายในมหาวิทยาลัย</t>
  </si>
  <si>
    <t>การจัดฝึกอบรม สัมมนา ระดับชาติ</t>
  </si>
  <si>
    <t>การจัดฝึกอบรม สัมมนา ระดับนานาชาติ</t>
  </si>
  <si>
    <t>การจัดประชุมวิชาการระดับนานาชาติ</t>
  </si>
  <si>
    <t>การจัดนิทรรศการทางวิชาการ</t>
  </si>
  <si>
    <t>อาจารย์พี่เลี้ยง(mentor)</t>
  </si>
  <si>
    <t>ที่ปรึกษาผลงานวิชาการ</t>
  </si>
  <si>
    <t>ที่ปรึกษางานวิชาชีพ</t>
  </si>
  <si>
    <t>พิจารณาเครื่องมืองานวิจัย เช่นแบบสอบถาม แบบทดสอบ</t>
  </si>
  <si>
    <t>พิจารณาบทความ ตีพิมพ์ในวารสารภายในประเทศ</t>
  </si>
  <si>
    <t>พิจารณาบทความ ตีพิมพ์ในวารสารต่างประเทศ</t>
  </si>
  <si>
    <t>พิจารณาตำรา หนังสือ รายงานวิจัยฉบับสมบูรณ์</t>
  </si>
  <si>
    <t>พิจารณาผลงานทางวิชาการ เพื่อประเมินตำแหน่ง ผศ.</t>
  </si>
  <si>
    <t>พิจารณาผลงานทางวิชาการ เพื่อประเมินตำแหน่ง รศ.</t>
  </si>
  <si>
    <t>พิจารณาผลงานทางวิชาการ เพื่อประเมินตำแหน่ง ศ.</t>
  </si>
  <si>
    <t>การออกให้บริการพัฒนาชุมชนโดยได้รับการอนุมัติ</t>
  </si>
  <si>
    <t>การออกหน่วยบริการสุขภาพเคลื่อนที่</t>
  </si>
  <si>
    <t>การให้บริการทางการแพทย์ รวมถึงการให้คำปรึกษาด้านยาโดยเภสัชกร</t>
  </si>
  <si>
    <t>การให้บริการการสอบ/สร้างเครื่องมือวัดและประเมินผล/วิเคราะห์และประมวลผล</t>
  </si>
  <si>
    <t>การไปปฏิบัติงานตรวจ/ประเมินหน่วยงานภายนอกคณะ/มหาวิทยาลัย ได้รับค่าตอบแทน</t>
  </si>
  <si>
    <t>เรื่อง</t>
  </si>
  <si>
    <t>ระบุวันเวลาและรายละเอียด</t>
  </si>
  <si>
    <t>พิจารณาข้อเสนอโครงการ</t>
  </si>
  <si>
    <t>ระบุรายละเอียด</t>
  </si>
  <si>
    <t>รายงานวิจัยฉบับสมบูรณ์</t>
  </si>
  <si>
    <t>ผลงานวิจัยที่นำเสนอในที่ประชุมวิชาการ(proceeding) Oral presentation ที่ประชุมระดับชาติ</t>
  </si>
  <si>
    <t>ผลงานวิจัยที่นำเสนอในที่ประชุมวิชาการ(proceeding) Oral presentation ที่ประชุมระดับนานาชาติ</t>
  </si>
  <si>
    <t>ผลงานวิจัยที่นำเสนอในที่ประชุมวิชาการ(proceeding) Poster presentation ที่ประชุมระดับชาติ</t>
  </si>
  <si>
    <t>ผลงานวิจัยที่นำเสนอในที่ประชุมวิชาการ(proceeding) Poster presentation ที่ประชุมระดับนานาชาติ</t>
  </si>
  <si>
    <t>ผลงานวิจัยที่นำเสนอในที่ประชุมวิชาการ(proceeding) ตีพิมพ์ Proceeding full paper ระดับชาติ</t>
  </si>
  <si>
    <t>ผลงานวิจัยที่นำเสนอในที่ประชุมวิชาการ(proceeding) ตีพิมพ์ Proceeding full paper ระดับนานาชาติ</t>
  </si>
  <si>
    <t>ระบุเรื่อง</t>
  </si>
  <si>
    <t>บรรยาย บัณฑิตศึกษา &lt;20 คน</t>
  </si>
  <si>
    <t>บรรยาย บัณฑิตศึกษา ภาษาต่างประเทศ &lt;20 คน</t>
  </si>
  <si>
    <t>บรรยาย บัณฑิตศึกษา ภาษาต่างประเทศ &lt;20 คน/ สอนซ้ำ</t>
  </si>
  <si>
    <t>ผู้เรียนเป็นสำคัญ ผู้คุม/นำกลุ่ม</t>
  </si>
  <si>
    <t>ผู้เรียนเป็นสำคัญ ผู้คุม/นำกลุ่ม สอนซ้ำ</t>
  </si>
  <si>
    <t>ผู้เรียนเป็นสำคัญ ผู้ให้ข้อมูล</t>
  </si>
  <si>
    <t>ดูแลนิสิตฝึกงาน/นิเทศฝึกงาน</t>
  </si>
  <si>
    <t>ประเมินผลงานฝึกงาน</t>
  </si>
  <si>
    <t>ผู้ประสานงานการฝึกงาน/นิเทศงาน</t>
  </si>
  <si>
    <t>การศึกษาดูงานที่ปรากฏในโครงร่างหลักสูตร</t>
  </si>
  <si>
    <t>ที่ปรึกษาวิชาสัมมนา/หัวข้อเฉพาะทาง</t>
  </si>
  <si>
    <t>สอนสัมมนา/หัวข้อเฉพาะทาง</t>
  </si>
  <si>
    <t>กรรมการสอบวิชาสัมมนา</t>
  </si>
  <si>
    <t>ผู้ประสานงานวิชาสัมมนา/ผู้จัดการวิชาสัมมนา</t>
  </si>
  <si>
    <t>การควบคุมภาคสนาม วิชา โครงการ ปัญหาพิเศษ โครงการวิจัยนิสิต ศิลปนิพนธ์ ภาคนิพนธ์</t>
  </si>
  <si>
    <t>กรรมการสอบ วิชา โครงการ ปัญหาพิเศษ โครงการวิจัยนิสิต ศิลปนิพนธ์ ภาคนิพนธ์</t>
  </si>
  <si>
    <t>ประธานควบคุม ปริญญานิพนธ์ ป.โท แผน ก 1</t>
  </si>
  <si>
    <t>กรรมการควบคุม ปริญญานิพนธ์ ป.โท แผน ก 1</t>
  </si>
  <si>
    <t>ประธานควบคุม ปริญญานิพนธ์ ป.โท แผน ก 2</t>
  </si>
  <si>
    <t>กรรมการควบคุม ปริญญานิพนธ์ ป.โท แผน ก 2</t>
  </si>
  <si>
    <t>ประธานควบคุม ปริญญานิพนธ์ ป.เอก แบบ 1</t>
  </si>
  <si>
    <t>กรรมการควบคุม ปริญญานิพนธ์ ป.เอก แบบ 1</t>
  </si>
  <si>
    <t>ประธานควบคุม ปริญญานิพนธ์ ป.เอก แบบ 2</t>
  </si>
  <si>
    <t>กรรมการควบคุม ปริญญานิพนธ์ ป.เอก แบบ 2</t>
  </si>
  <si>
    <t>กรรมการพิจารณาโครงร่างปริญญานิพนธ์ ป.โท</t>
  </si>
  <si>
    <t>กรรมการพิจารณาโครงร่างปริญญานิพนธ์ ป.เอก</t>
  </si>
  <si>
    <t>กรรมการสอบปริญญานิพนธ์ ป.โท</t>
  </si>
  <si>
    <t>กรรมการสอบปริญญานิพนธ์ ป.เอก</t>
  </si>
  <si>
    <t>ประธานควบคุมสารนิพนธ์ ป.โท แผน ข</t>
  </si>
  <si>
    <t>กรรมการสอบประมวลความรู้</t>
  </si>
  <si>
    <t>กรรมการสอบวัดคุณสมบัติป.เอก</t>
  </si>
  <si>
    <t>อาจารย์ที่ปรึกษานิสิต</t>
  </si>
  <si>
    <t>อาจารย์ที่ปรึกษาหอพักนิสิต</t>
  </si>
  <si>
    <t>งานแต่งเรียบเรียง คู่มือปฏิบัติการ</t>
  </si>
  <si>
    <t>งานแต่งเรียบเรียง เอกสารประกอบการสอน</t>
  </si>
  <si>
    <t>งานแต่งเรียบเรียง เอกสารคำสอน</t>
  </si>
  <si>
    <t>งานแต่งเรียบเรียง หนังสือประกอบการสอน</t>
  </si>
  <si>
    <t>งานผลิตสื่อ virtual/e-learning</t>
  </si>
  <si>
    <t>งานผลิตสื่อ CAI</t>
  </si>
  <si>
    <t>งานผลิตสื่อ วีดิทัศน์ CD</t>
  </si>
  <si>
    <t>งานผลิตสื่อ อุปกรณ์สาธิต เช่น model ,slide</t>
  </si>
  <si>
    <t>คุมสอบ</t>
  </si>
  <si>
    <t>ระบุ นก.</t>
  </si>
  <si>
    <t>ระบุวันที่</t>
  </si>
  <si>
    <t>ระบุชื่อ</t>
  </si>
  <si>
    <t>รอบภาระงาน</t>
  </si>
  <si>
    <t>คะแนนภาระงานต่อสัปดาห์</t>
  </si>
  <si>
    <t>ระบุรายวิชา</t>
  </si>
  <si>
    <t>บรรยาย บัณฑิตศึกษา &gt;20 คน</t>
  </si>
  <si>
    <t>กลุ่มภาระงาน</t>
  </si>
  <si>
    <t>ภาระงานขั้นต่ำต่อสัปดาห์</t>
  </si>
  <si>
    <t>การประเมินภาระงาน</t>
  </si>
  <si>
    <t>เลือกกลุ่มภาระงาน</t>
  </si>
  <si>
    <t>หัวหน้าหน่วยงานที่มีระเบียบเฉพาะ</t>
  </si>
  <si>
    <t>ผู้บริหารที่เทียบเท่าหัวหน้าภาควิชา</t>
  </si>
  <si>
    <t>ผู้บริหารที่เทียบเท่ารองหัวหน้าภาควิชา</t>
  </si>
  <si>
    <t>หัวหน้าหมวด(โรงเรียน)</t>
  </si>
  <si>
    <t>ผู้อำนวยการ/ผู้จัดการหน่วยงานภานในที่ภาควิชา/คณะฝมหาวิทยาลัยแต่งตั้ง</t>
  </si>
  <si>
    <t>ประธานกรรมการสอบข้อเท็จจริง</t>
  </si>
  <si>
    <t>กรรมการและเลขานุการสอบข้อเท็จจริง</t>
  </si>
  <si>
    <t>กรรมการสอบข้อเท็จจริง</t>
  </si>
  <si>
    <t>ประธานกรรมการสอบสวนทางวินัย</t>
  </si>
  <si>
    <t>กรรมการและเลขานุการสอบสวนทางวินัย</t>
  </si>
  <si>
    <t>กรรมการสอบสวนทางวินัย</t>
  </si>
  <si>
    <t>ประธานสภาคณาจารย์</t>
  </si>
  <si>
    <t>รองประธานสภาคณาจารย์</t>
  </si>
  <si>
    <t>เลขานุการสภาคณาจารย์</t>
  </si>
  <si>
    <t>ตัวแทนสภาคณาจารย์</t>
  </si>
  <si>
    <t>วิทยากร บรรยาย/ฝึกสอน กรณีไม่ได้รับค่าตอบแทน(เฉพาะหน่วยงานภายในและภาครัฐ ได้รับอนุมัติจากหน่วยงานต้นสังกัด)</t>
  </si>
  <si>
    <t>วิทยากร บรรยาย/ฝึกสอน กรณีได้รับค่าตอบแทน(เฉพาะหน่วยงานภายในและภาครัฐ ได้รับอนุมัติจากหน่วยงานต้นสังกัด)</t>
  </si>
  <si>
    <t>การไปปฏิบัติงานตรวจสอบ/ประเมินหน่วยงานภายนอกคณะ/มหาวิทยาลัย ไม่ได้รับค่าตอบแทน</t>
  </si>
  <si>
    <t>การเผยแพร่วิชาการทางหนังสือพิมพ์/สื่อสิ่งพิมพ์/นิตยสาร/แผ่นพิมพ์</t>
  </si>
  <si>
    <t>บรรณาธิการวารสารระดับชาติที่อยู่ระหว่าเตรียมการขอรับการรับรอง(มี peer review)</t>
  </si>
  <si>
    <t>กองบรรณาธิการวารสารระดับชาติที่อยู่ระหว่าเตรียมการขอรับการรับรอง(มี peer review)</t>
  </si>
  <si>
    <t>การจัดประชุมวิชาการ ระดับคณะ ภายในมหาวิทยาลัย</t>
  </si>
  <si>
    <t>การจัดประชุมวิชาการ ระดับชาติ/มหาวิทยาลัย</t>
  </si>
  <si>
    <t>ผู้นำกิจกรรมทางวิชาการ เสวนาวิชาการ</t>
  </si>
  <si>
    <t>ผู้เข้าร่วมกิจกรรมกิจกรรมทางวิชาการ เสวนาวิชาการ</t>
  </si>
  <si>
    <t>การเป็นกรรมการตัดสินโดยได้รับอนุมัติจากหัวหน้าหน่วยงาน</t>
  </si>
  <si>
    <t>การให้บริการทางวิศวกรรม ทั้งภายในและภายนอกมหาวิทยาลัย โดยการอนุมัติจากหน่วยงานต้นสังกัด</t>
  </si>
  <si>
    <t>กลุ่มผู้ดำรงตำแหน่งทางวิชาการ</t>
  </si>
  <si>
    <t>ภาระงานการสอนและพัฒนานิสิต</t>
  </si>
  <si>
    <t>ภาระงานวิจัยและภาระงานบริการวิชาการ</t>
  </si>
  <si>
    <t>ภาระงานบริหาร</t>
  </si>
  <si>
    <t>ผลการประเมินภาระงานรวม</t>
  </si>
  <si>
    <t>ผู้บริหารโครงการชุดวิจัย/ผู้อำนวยการแผนงานวิจัย</t>
  </si>
  <si>
    <t>โครงการวิจัยที่ได้รับอนุมัติให้ขยายเวลา</t>
  </si>
  <si>
    <t>โครงการวิจัยที่ไม่ได้รับทุน แต่ได้รับความเห็นชอบจากหน่วยงาน</t>
  </si>
  <si>
    <t>โครงการวิจัยที่ได้รับทุนวิจัยจากแหล่งอื่น ที่ไม่ผ่านความเห็นชอบจากหน่วยงาน</t>
  </si>
  <si>
    <t>Manuscript วารสารวิจัยระดับชาติ อยู่ในฐานข้อมูล TCI หรือเทียบเท่าแต่ยังไม่ได้รับรองเป็นวารสารระดับชาติ หรือไม่อยู่ในฐานข้อมูล TCI (หัวหน้าโครงการ)</t>
  </si>
  <si>
    <t>Manuscript วารสารวิจัยระดับชาติ อยู่ในฐานข้อมูล TCI หรือเทียบเท่า ได้รับรองเป็นวารสารระดับชาติ (หัวหน้าโครงการ)</t>
  </si>
  <si>
    <t>Manuscript วารสารวิจัยระดับนานาชาติ อยู่ในฐานข้อมูล TCI หรือเทียบเท่า ได้รับรองเป็นวารสารระดับนานาชาติ (หัวหน้าโครงการ)</t>
  </si>
  <si>
    <t>Manuscript วารสารวิจัยระดับนานาชาติ อยู่ในฐานข้อมูลสากล (หัวหน้าโครงการ)</t>
  </si>
  <si>
    <t>Manuscript วารสารวิจัยระดับชาติ อยู่ในฐานข้อมูล TCI หรือเทียบเท่าแต่ยังไม่ได้รับรองเป็นวารสารระดับชาติ หรือไม่อยู่ในฐานข้อมูล TCI (ผู้ร่วมวิจัย)</t>
  </si>
  <si>
    <t>Manuscript วารสารวิจัยระดับชาติ อยู่ในฐานข้อมูล TCI หรือเทียบเท่า ได้รับรองเป็นวารสารระดับชาติ (ผู้ร่วมวิจัย)</t>
  </si>
  <si>
    <t>Manuscript วารสารวิจัยระดับนานาชาติ อยู่ในฐานข้อมูล TCI หรือเทียบเท่า ได้รับรองเป็นวารสารระดับนานาชาติ (ผู้ร่วมวิจัย)</t>
  </si>
  <si>
    <t>Manuscript วารสารวิจัยระดับนานาชาติ อยู่ในฐานข้อมูลสากล (ผู้ร่วมวิจัย)</t>
  </si>
  <si>
    <t>ผลงานวิจัย/บทความวิจัย(รวมผลานที่ทำร่วมกับนิสิต) ตีพิมพ์ในวารสารระดับชาติ อยู่ในฐานข้อมูล TCI หรือเทียบเท่า แต่ยังไม่ได้รับการรับรองเป็นวารสารระดับชาติ หรือไม่อยู่ในฐานข้อมูล TCI (หัวหน้าโครงการ)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</si>
  <si>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 TCI หรือเทียบเท่า ได้รับรองเป็ฯวารสารระดับชาติ (หัวหน้าโครงการ)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</si>
  <si>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 TCI หรือเทียบเท่า ได้รับรองเป็นวารสารระดับนานาชาติ (หัวหน้าโครงการ)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</si>
  <si>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อยู่ในฐานข้อมูลสากล (หัวหน้าโครงการ)</t>
  </si>
  <si>
    <t>ผลงานวิจัย/บทความวิจัย(รวมผลานที่ทำร่วมกับนิสิต) ตีพิมพ์ในวารสารระดับชาติ อยู่ในฐานข้อมูล TCI หรือเทียบเท่า แต่ยังไม่ได้รับการรับรองเป็นวารสารระดับชาติ หรือไม่อยู่ในฐานข้อมูล TCI (ผู้ร่วมวิจัย)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</si>
  <si>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 TCI หรือเทียบเท่า ได้รับรองเป็ฯวารสารระดับชาติ (ผู้ร่วมวิจัย)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</si>
  <si>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 TCI หรือเทียบเท่า ได้รับรองเป็นวารสารระดับนานาชาติ (ผู้ร่วมวิจัย)</t>
  </si>
  <si>
    <t>ผลงานวิจัย/บทความวิจัย(รวมผลานที่ทำร่วมกับนิสิต) ตีพิมพ์ในวารสารระดับนานาชาติ อยู่ในฐานข้อมูลสากล (ผู้ร่วมวิจัย)</t>
  </si>
  <si>
    <t>ผลงานวิจัยนำเสนอ Review article วารสารระดับนานาชาติ ไม่ได้รับเชิญ (ผู้ร่วมวิจัย)</t>
  </si>
  <si>
    <t>ผลงานวิจัยนำเสนอ Review article วารสารระดับนานาชาติ ได้รับเชิญ (ผู้ร่วมวิจัย)</t>
  </si>
  <si>
    <t>ผลงานวิจัยนำเสนอ Review article วารสารระดับชาติ  ไม่ได้รับเชิญ (ผู้ร่วมวิจัย)</t>
  </si>
  <si>
    <t>ผลงานวิจัยนำเสนอ Review article วารสารระดับชาติ ได้รับเชิญ (ผู้ร่วมวิจัย)</t>
  </si>
  <si>
    <t>ผลงานวิจัยนำเสนอ Review article วารสารระดับนานาชาติ ไม่ได้รับเชิญ (หัวหน้าโครงการ)</t>
  </si>
  <si>
    <t>ผลงานวิจัยนำเสนอ Review article วารสารระดับนานาชาติ ได้รับเชิญ (หัวหน้าโครงการ)</t>
  </si>
  <si>
    <t>ผลงานวิจัยนำเสนอ Review article วารสารระดับชาติ  ไม่ได้รับเชิญ (หัวหน้าโครงการ)</t>
  </si>
  <si>
    <t>ผลงานวิจัยนำเสนอ Review article วารสารระดับชาติ ได้รับเชิญ (หัวหน้าโครงการ)</t>
  </si>
  <si>
    <t>บทความทางวิชาการ ตีพิมพ์ในวารสารระดับชาติ (หัวหน้าคณะ)</t>
  </si>
  <si>
    <t>บทความทางวิชาการ ตีพิมพ์ในวารสารระดับนานาชาติ (หัวหน้าคณะ)</t>
  </si>
  <si>
    <t>บทความทางวิชาการ ตีพิมพ์ในวารสารระดับชาติ (ผู้ร่วมเขียน)</t>
  </si>
  <si>
    <t>บทความทางวิชาการ ตีพิมพ์ในวารสารระดับนานาชาติ (ผู้ร่วมเขียน)</t>
  </si>
  <si>
    <t>ลิขสิทธิ์หรือทรัพสินทางปัญญารูปแบบอื่น ๆ ระดับชาติ</t>
  </si>
  <si>
    <t>ลิขสิทธิ์หรือทรัพสินทางปัญญารูปแบบอื่น ๆ ระดับนานาชาติ</t>
  </si>
  <si>
    <t>อนุสิทธิบัตร ระดับชาติ</t>
  </si>
  <si>
    <t>อนุสิทธิบัตร ระดับนานาชาติ</t>
  </si>
  <si>
    <t>สิทธิบัตร ระดับชาติ</t>
  </si>
  <si>
    <t>สิทธิบัตร ระดับนานาชาติ</t>
  </si>
  <si>
    <t>ตำรา ภาษาไทย</t>
  </si>
  <si>
    <t>ตำรา ภาษาต่างประเทศ</t>
  </si>
  <si>
    <t>หนังสือ ภาษาไทย</t>
  </si>
  <si>
    <t>หนังสือ ภาษาต่างประเทศ</t>
  </si>
  <si>
    <t>ระบุชื่อตำรา และชื่อบท</t>
  </si>
  <si>
    <t>ระบุชื่อหนังสือ และชื่อบท</t>
  </si>
  <si>
    <t>บรรยาย ป.ตรี หรืออนุปริญญา&lt; 20 คน</t>
  </si>
  <si>
    <t>บรรยาย ป.ตรี หรืออนุปริญญา 20-50 คน</t>
  </si>
  <si>
    <t>บรรยาย ป.ตรี หรืออนุปริญญา 20-50 คน/ สอนซ้ำ</t>
  </si>
  <si>
    <t>บรรยาย ป.ตรี หรืออนุปริญญา ภาษาต่างประเทศ &lt; 20 คน</t>
  </si>
  <si>
    <t>บรรยาย ป.ตรี หรืออนุปริญญา ภาษาต่างประเทศ  &lt; 20 คน/  สอนซ้ำ</t>
  </si>
  <si>
    <t>บรรยาย ป.ตรี หรืออนุปริญญา ภาษาต่างประเทศ  20-50 คน/ สอนซ้ำ</t>
  </si>
  <si>
    <t>ระบุการสอนในเวลาหรือนอกเวลา</t>
  </si>
  <si>
    <t>ระบุจำนวนนิสิต</t>
  </si>
  <si>
    <t>ในเวลาราชการ</t>
  </si>
  <si>
    <t>นอกเวลาราชการ</t>
  </si>
  <si>
    <t xml:space="preserve">บรรยาย ป.ตรี หรืออนุปริญญา ภาษาต่างประเทศ  20-50 คน </t>
  </si>
  <si>
    <t>สอนปฏิบัติการ/คุมห้องปฏิบัติการ ผู้สอนหลัก สอนครั้งแรก (1 หน่วยกิต สอน 2 ชั่วโมง)</t>
  </si>
  <si>
    <t>สอนปฏิบัติการ/คุมห้องปฏิบัติการ ผู้สอนหลัก สอนซ้ำ(1 หน่วยกิต สอน 2 ชั่วโมง)</t>
  </si>
  <si>
    <t>สอนปฏิบัติการ/คุมห้องปฏิบัติการ ผู้สอนหลัก สอนครั้งแรก (1 หน่วยกิต สอน 3 ชั่วโมง)</t>
  </si>
  <si>
    <t>สอนปฏิบัติการ/คุมห้องปฏิบัติการ ผู้สอนหลัก สอนซ้ำ(1 หน่วยกิต สอน 3 ชั่วโมง)</t>
  </si>
  <si>
    <t>ระบุหน่วยกิต</t>
  </si>
  <si>
    <t>สอนปฏิบัติการ/คุมห้องปฏิบัติการ ผู้ช่วย(1 หน่วยกิต สอน 2 ชั่วโมง)</t>
  </si>
  <si>
    <t>สอนปฏิบัติการ/คุมห้องปฏิบัติการ ผู้ช่วย(1 หน่วยกิต สอน 3 ชั่วโมง)</t>
  </si>
  <si>
    <t>สอนปฏิบัติการ(วิทย์ชีวภาพ/เทคนิคเฉพาะ) ผู้สอนหลัก(1 หน่วยกิต สอน 2 ชั่วโมง)</t>
  </si>
  <si>
    <t>สอนปฏิบัติการ(วิทย์ชีวภาพ/เทคนิคเฉพาะ) ผู้สอนหลัก สอนซ้ำ(1 หน่วยกิต สอน 2 ชั่วโมง)</t>
  </si>
  <si>
    <t>สอนปฏิบัติการ(วิทย์ชีวภาพ/เทคนิคเฉพาะ) ผู้สอนหลัก(1 หน่วยกิต สอน 3 ชั่วโมง)</t>
  </si>
  <si>
    <t>สอนปฏิบัติการ(วิทย์ชีวภาพ/เทคนิคเฉพาะ) ผู้สอนหลัก สอนซ้ำ(1 หน่วยกิต สอน 3 ชั่วโมง)</t>
  </si>
  <si>
    <t>สอนปฏิบัติการ(วิทย์ชีวภาพ/เทคนิคเฉพาะ) ผู้ช่วย(1 หน่วยกิต สอน 2 ชั่วโมง)</t>
  </si>
  <si>
    <t>สอนปฏิบัติการ(วิทย์ชีวภาพ/เทคนิคเฉพาะ) ผู้ช่วย(1 หน่วยกิต สอน 3 ชั่วโมง)</t>
  </si>
  <si>
    <t>การสอนวิชาพลศึกษาปฏิบัติ ผู้สอนหลัก(1 หน่วยกิต สอน 2 ชั่วโมง)</t>
  </si>
  <si>
    <t>การสอนวิชาพลศึกษาปฏิบัติ ผู้สอนหลัก สอนซ้ำ(1 หน่วยกิต สอน 2 ชั่วโมง)</t>
  </si>
  <si>
    <t>การสอนวิชาพลศึกษาปฏิบัติ ผู้สอนหลัก(1 หน่วยกิต สอน 3 ชั่วโมง)</t>
  </si>
  <si>
    <t>การสอนวิชาพลศึกษาปฏิบัติ ผู้สอนหลัก สอนซ้ำ(1 หน่วยกิต สอน 3 ชั่วโมง)</t>
  </si>
  <si>
    <t>การสอนวิชาพลศึกษาปฏิบัติ ผู้ช่วย(1 หน่วยกิต สอน 2 ชั่วโมง)</t>
  </si>
  <si>
    <t>การสอนวิชาพลศึกษาปฏิบัติ ผู้ช่วย(1 หน่วยกิต สอน 3 ชั่วโมง)</t>
  </si>
  <si>
    <t>การสอนปฏิบัติทางคลินิค ผู้สอนหลัก(1 หน่วยกิต สอน 1 ชั่วโมง)</t>
  </si>
  <si>
    <t>การสอนปฏิบัติทางคลินิค ผู้สอนหลัก(1 หน่วยกิต สอน 2 ชั่วโมง)</t>
  </si>
  <si>
    <t>การสอนปฏิบัติทางคลินิค ผู้สอนหลัก(1 หน่วยกิต สอน 3 ชั่วโมง)</t>
  </si>
  <si>
    <t>การสอนปฏิบัติทางคลินิค ผู้สอนหลัก(1 หน่วยกิต สอน 4 ชั่วโมง)</t>
  </si>
  <si>
    <t>การสอนปฏิบัติทางคลินิค ผู้สอนหลัก สอนซ้ำ(1 หน่วยกิต สอน 1 ชั่วโมง)</t>
  </si>
  <si>
    <t>การสอนปฏิบัติทางคลินิค ผู้สอนหลัก สอนซ้ำ(1 หน่วยกิต สอน 2 ชั่วโมง)</t>
  </si>
  <si>
    <t>การสอนปฏิบัติทางคลินิค ผู้สอนหลัก สอนซ้ำ(1 หน่วยกิต สอน 3 ชั่วโมง)</t>
  </si>
  <si>
    <t>การสอนปฏิบัติทางคลินิค ผู้สอนหลัก สอนซ้ำ(1 หน่วยกิต สอน 4 ชั่วโมง)</t>
  </si>
  <si>
    <t>การสอนปฏิบัติทางคลินิค ผู้ช่วย (1 หน่วยกิต สอน 4 ชั่วโมง)</t>
  </si>
  <si>
    <t>ระบุชื่อนิสิต</t>
  </si>
  <si>
    <t>ที่ปรึกษาหลัก วิชา โครงการ โครงการวิจัย ปัญหาพิเศษ ศิลปนิพนธ์ ภาคนิพนธ์ ในระดับปริญญาตรี</t>
  </si>
  <si>
    <t>ที่ปรึกษาร่วม วิชา โครงการ โครงการวิจัย ปัญหาพิเศษ ศิลปนิพนธ์ ภาคนิพนธ์ ในระดับปริญญาตรี</t>
  </si>
  <si>
    <t>การเรียนรู้เป็นรายบุคคล (ต่อเรื่องต่อคน)</t>
  </si>
  <si>
    <t>อาจารย์ที่ปรึกษาชมรม/สโมสร/กิจกรรมนิสิต/สภานิสิต/องค์การนิสิต</t>
  </si>
  <si>
    <t>ผู้ประสานงานรายวิชาบรรยายและปฏิบัติ</t>
  </si>
  <si>
    <t>ระบุจำนวนครั้งต่อสัปดาห์</t>
  </si>
  <si>
    <t>การนิเทศการปฏิบัติการสอนและฝึกประสบการณ์วิชาชีพครู ภาระงาน 2 หน่วยกิต</t>
  </si>
  <si>
    <t>บรรยาย ป.ตรี หรืออนุปริญญา มากกว่า 50 คน</t>
  </si>
  <si>
    <t>บรรยาย ป.ตรี หรืออนุปริญญา มากกว่า 50 คน/ สอนซ้ำ</t>
  </si>
  <si>
    <t xml:space="preserve">บรรยาย ป.ตรี หรืออนุปริญญา ภาษาต่างประเทศ  มากกว่า 50 คน </t>
  </si>
  <si>
    <t>บรรยาย ป.ตรี หรืออนุปริญญา ภาษาต่างประเทศ  มากกว่า 50 คน/ สอนซ้ำ</t>
  </si>
  <si>
    <t>บรรยาย บัณฑิตศึกษา &gt;20 คน/ สอนซ้ำ</t>
  </si>
  <si>
    <t>บรรยาย บัณฑิตศึกษา ภาษาต่างประเทศ &gt;20 คน</t>
  </si>
  <si>
    <t>บรรยาย บัณฑิตศึกษา ภาษาต่างประเทศ &gt;20 คน/ สอนซ้ำ</t>
  </si>
  <si>
    <t>แบบบันทึกภาระงานวิจัย</t>
  </si>
  <si>
    <t>แบบบันทึกภาระงานบริการวิชาการ</t>
  </si>
  <si>
    <t>แบบบันทึกภาระงานทำนุบำรุงศิลปวัฒนธรรม</t>
  </si>
  <si>
    <t>แบบบันทึกภาระงานบริหาร</t>
  </si>
  <si>
    <t>งานวิจัยเดี่ยว ได้รับทุนภายในมหาวิทยาลัย (งบน้อยกว่าหรือเท่ากับ 50,000  บาท)</t>
  </si>
  <si>
    <t>งานวิจัยเดี่ยว ได้รับทุนภายนอกมหาวิทยาลัย (งบน้อยกว่าหรือเท่ากับ 50,000  บาท)</t>
  </si>
  <si>
    <t>งานวิจัยเดี่ยว ได้รับทุนต่างประเทศ (งบน้อยกว่าหรือเท่ากับ 50,000  บาท)</t>
  </si>
  <si>
    <t>ชุดโครงการวิจัย ได้รับทุนภายในมหาวิทยาลัย (งบน้อยกว่าหรือเท่ากับ 50,000  บาท)</t>
  </si>
  <si>
    <t>ชุดโครงการวิจัย ได้รับทุนภายนอกมหาวิทยาลัย (งบน้อยกว่าหรือเท่ากับ 50,000  บาท)</t>
  </si>
  <si>
    <t>ชุดโครงการวิจัย ได้รับทุนต่างประเทศ (งบน้อยกว่าหรือเท่ากับ 50,000  บาท)</t>
  </si>
  <si>
    <t>งานวิจัยเดี่ยว ได้รับทุนภายในมหาวิทยาลัย (งบมากกว่า 50,000  บาท ให้ระบุงบประมาณ)</t>
  </si>
  <si>
    <t>งานวิจัยเดี่ยว ได้รับทุนภายนอกมหาวิทยาลัย (งบมากกว่า 50,000  บาท ให้ระบุงบประมาณ)</t>
  </si>
  <si>
    <t>งานวิจัยเดี่ยว ได้รับทุนต่างประเทศ (งบมากกว่า 50,000  บาท ให้ระบุงบประมาณ)</t>
  </si>
  <si>
    <t>ชุดโครงการวิจัย ได้รับทุนภายในมหาวิทยาลัย (งบมากกว่า 50,000  บาท ให้ระบุงบประมาณ)</t>
  </si>
  <si>
    <t>ชุดโครงการวิจัย ได้รับทุนภายนอกมหาวิทยาลัย (งบมากกว่า 50,000  บาท ให้ระบุงบประมาณ)</t>
  </si>
  <si>
    <t>ชุดโครงการวิจัย ได้รับทุนต่างประเทศ (งบมากกว่า 50,000  บาท ให้ระบุงบประมาณ)</t>
  </si>
  <si>
    <t>ระบุผู้ร่วมภาระงาน</t>
  </si>
  <si>
    <t>ไม่ต้องระบุเวลา</t>
  </si>
  <si>
    <t>เลือกรายการไม่ต้องระบุเวลา</t>
  </si>
  <si>
    <t>ไม่ต้องระบุจำนวนนิสิต</t>
  </si>
  <si>
    <t>ระบุข้อมูล</t>
  </si>
  <si>
    <t>ระบุในเวลา/นอกเวลา</t>
  </si>
  <si>
    <t>ระบุจำนวนหน่วยกิต</t>
  </si>
  <si>
    <t>ระบุจำนวนชั่วโมง</t>
  </si>
  <si>
    <t>ระบุจำนวนคน</t>
  </si>
  <si>
    <t>ระบุจำนวนภาคการศึกษา</t>
  </si>
  <si>
    <t>ระบุจำนวนเรื่อง</t>
  </si>
  <si>
    <t>ระบุจำนวนโครงการ</t>
  </si>
  <si>
    <t>รายละเอียดข้อมูล</t>
  </si>
  <si>
    <t>แบบบันทึกภาระงานปริญญานิพนธ์ พัฒนานิสิต และอื่น ๆ</t>
  </si>
  <si>
    <t>ระบุจำนวนชมรม</t>
  </si>
  <si>
    <t>ระบุจำนวนรายวิชา</t>
  </si>
  <si>
    <t>ระบุจำนวนเล่ม</t>
  </si>
  <si>
    <t>ระบุจำนวนงบประมาณ</t>
  </si>
  <si>
    <t>ระบุจำนวนฉบับ</t>
  </si>
  <si>
    <t>ระบุจำนวนบท</t>
  </si>
  <si>
    <t>ระบุจำนวนครั้ง</t>
  </si>
  <si>
    <t>ระบุจำนวนบทความ</t>
  </si>
  <si>
    <t>ระบุจำนวนตำแหน่ง</t>
  </si>
  <si>
    <t>ระบุจำนวนหน่วย</t>
  </si>
  <si>
    <t>ระบุจำนวนผู้ร่วมสอน</t>
  </si>
  <si>
    <t>รายการภาระงานบริหาร</t>
  </si>
  <si>
    <t>รายการของภาระงานทำนุบำรุงศิลปวัฒนธรรม</t>
  </si>
  <si>
    <t>รายการของภาระงานบริการวิชาการ</t>
  </si>
  <si>
    <t>รายการของภาระงานวิจัย</t>
  </si>
  <si>
    <t>รายการของภาระงานปริญญานิพนธ์ พัฒนานิสิต     และอื่น ๆ</t>
  </si>
  <si>
    <t>รายการของภาระงานสอนโดยตรง</t>
  </si>
  <si>
    <t>1.1 ภาระงานสอนโดยตรงในเวลาราชการ</t>
  </si>
  <si>
    <t>1.2 ภาระงานสอนโดยตรงนอกเวลาราชการ</t>
  </si>
  <si>
    <t>1.3 ภาระงานสอนด้านอื่น ๆ</t>
  </si>
  <si>
    <t>หน่วยกิตภาระงานสอน</t>
  </si>
  <si>
    <t>หน่วยกิตภาระงานสอนที่เบิกเกิน</t>
  </si>
  <si>
    <t xml:space="preserve">     1.1.1 ระดับปริญญาตรี</t>
  </si>
  <si>
    <t xml:space="preserve">     1.1.2 ระดับบัณฑิตศึกษา</t>
  </si>
  <si>
    <t xml:space="preserve">     1.2.1 ระดับปริญญาตรี</t>
  </si>
  <si>
    <t xml:space="preserve">     1.2.2 ระดับบัณฑิตศึกษา</t>
  </si>
  <si>
    <t>ระบุการสอนในเวลา</t>
  </si>
  <si>
    <t>ระบุจำนวนหน่วยกิต(นิสิต 2 คน เท่ากับ 1 หน่วยกิต)</t>
  </si>
  <si>
    <t>ปริญญาตรี</t>
  </si>
  <si>
    <t>บัณฑิตศึกษา</t>
  </si>
  <si>
    <t>ระดับการศึกษา</t>
  </si>
  <si>
    <t>ระดับการศึกษา1</t>
  </si>
  <si>
    <t>ระดับการศึกษา2</t>
  </si>
  <si>
    <t>แบบบันทึกภาระงานการสอนอื่น ๆ</t>
  </si>
  <si>
    <t>ผู้ดำรงตำแหน่งทางวิชาการที่ทำหน้าที่เป็นผู้บริหารระดับคณะ และ ระดับมหาวิทยาลัยที่ต้องปฏิบัติงานบริหารเต็มเวลา</t>
  </si>
  <si>
    <t>สิทธิการเบิกค่าสอนเกินภาระงาน</t>
  </si>
  <si>
    <t>การชดเชยภาระงานในเวลา(กรณีภาระงานสอนโดยตรงในเวลาน้อยกว่า 6 ภาระงาน)</t>
  </si>
  <si>
    <t>ผู้ร่วมภาระงาน</t>
  </si>
  <si>
    <t>จำนวนนิสิต</t>
  </si>
  <si>
    <t>รายละเอียด</t>
  </si>
  <si>
    <t>ภาระงานสอนโดยตรงในเวลาแต่ละระดับ</t>
  </si>
  <si>
    <t>ภาระงานสอนโดยตรงในเวลา</t>
  </si>
  <si>
    <t>จำนวนหน่วยกิตการสอนโดยตรงในเวลาแต่ละระดับ</t>
  </si>
  <si>
    <t>ภาระงานสอนโดยตรงนอกเวลา</t>
  </si>
  <si>
    <t>ภาระงานสอนโดยตรงนอกเวลาแต่ละระดับ</t>
  </si>
  <si>
    <t>จำนวนหน่วยกิตการสอนนอกเวลาแต่ละระดับ</t>
  </si>
  <si>
    <t>แบบบันทึกภาระงานทางวิชาการ คณะศึกษาศาสตร์  มหาวิทยาลัยศรีนครินทรวิโรฒ</t>
  </si>
  <si>
    <t>ภาระงานการสอนและพัฒนานิสิตไม่น้อยกว่า 18 ภาระงาน(โดยเป็นภาระงานสอนโดยตรงไม่น้อยกว่า 6 ภาระงาน) ภาระงานวิจัยและบริการวิชาการไม่น้อยกว่า 7 ภาระงานรวมไม่น้อยกว่า 35 ภาระงาน</t>
  </si>
  <si>
    <t>ผู้ดำรงตำแหน่งทางวิชาการที่ทำหน้าที่เป็นผู้บริหารและอาจารย์ประจำที่ทำหน้าที่เป็นผู้บริหารระดับภาควิชา หรือ ผู้บริหารอื่นๆ ที่สามารถเลือกปฏิบัติภาระงานด้านการสอน วิจัย หรือบริการวิชาการเพิ่ม</t>
  </si>
  <si>
    <t>ผู้ดำรงตำแหน่งทางวิชาการที่ทำหน้าที่เป็นผู้บริหารและอาจารย์ประจำที่ทำหน้าที่เป็นผู้บริหารระดับผู้ช่วยคณบดี รองหัวหน้าภาควิชา หรือ ผู้บริหารอื่นๆ ที่สามารถเลือกปฏิบัติภาระงานด้านการสอน วิจัย หรือบริการวิชาการเพิ่ม</t>
  </si>
  <si>
    <t>รองคณบดี/หัวหน้าภาควิชา/สาขาวิชา หรือเทียบเท่า</t>
  </si>
  <si>
    <t>อธิการบดี/รองอธิการบดี/คณบดี/ผู้อำนวยการสำนัก หรือเทียบเท่า</t>
  </si>
  <si>
    <t>1.4 ภาระงานปริญญานิพนธ์ การพัฒนานิสิต และอื่น ๆ</t>
  </si>
  <si>
    <t>ภาระงานเดินทางเพื่อการสอนนอกเขตที่ตั้ง(ประสานมิตร/องครักษ์)</t>
  </si>
  <si>
    <t>ภาระงานเดินทางเพื่อการสอนนอกเขตที่ตั้ง(สระแก้ว)</t>
  </si>
  <si>
    <t>ระบุจำนวนผู้ร่วมภาระงาน</t>
  </si>
  <si>
    <t>แบบประเมินผลสัมฤทธิ์ของงาน และพฤติกรรมการปฏิบัติราชการหรือสมรรถนะ</t>
  </si>
  <si>
    <t>ของบุคลากร สังกัดมหาวิทยาลัยศรีนครินทรวิโรฒ</t>
  </si>
  <si>
    <t>รอบการประเมิน</t>
  </si>
  <si>
    <t>ตำแหน่งบริหาร</t>
  </si>
  <si>
    <t>สังกัด</t>
  </si>
  <si>
    <t>ตำแหน่งวิชาการ</t>
  </si>
  <si>
    <t>1. การประเมินผลสัมฤทธิ์ของงาน</t>
  </si>
  <si>
    <t>กิจกรรม/
โครงการ/
งาน</t>
  </si>
  <si>
    <t>ตัวชี้วัดผลการปฏิบัติงาน/
เกณฑ์การประเมิน</t>
  </si>
  <si>
    <t>ระดับค่าเป้าหมาย</t>
  </si>
  <si>
    <t>ค่าคะแนน
ที่ได้ (ก)</t>
  </si>
  <si>
    <t>น้ำหนักความสำคัญของภาระงาน (ข)</t>
  </si>
  <si>
    <t>ค่าคะแนน
ถ่วงน้ำหนัก
{(ก)x(ข)}/100</t>
  </si>
  <si>
    <t>หลักฐาน
ประกอบ
การพิจารณา</t>
  </si>
  <si>
    <t>อาจารย์ (ข1)</t>
  </si>
  <si>
    <t>ผู้บริหาร 1(ข2)</t>
  </si>
  <si>
    <t>ผู้บริหาร 2 (ข3)</t>
  </si>
  <si>
    <t>1. การสอนและพัฒนานิสิต</t>
  </si>
  <si>
    <t xml:space="preserve">ปริมาณภาระงาน (ต่อสัปดาห์) ด้านการสอนและพัฒนานิสิต </t>
  </si>
  <si>
    <t>2. การวิจัยและบริการวิชาการ</t>
  </si>
  <si>
    <t xml:space="preserve">ปริมาณภาระงาน (ต่อสัปดาห์) ด้านการวิจัยและบริการวิชาการ  </t>
  </si>
  <si>
    <t>3. การทำนุบำรุงศิลปวัฒนธรรม</t>
  </si>
  <si>
    <t>การมีส่วนร่วมในงานทำนุบำรุงศิลปวัฒนธรรมที่หน่วยงานจัดขึ้น</t>
  </si>
  <si>
    <t>4. การบริหารงานโครงการ/กิจกรรมที่หน่วยงานมอบหมาย</t>
  </si>
  <si>
    <t>การเป็นประธาน/กรรมการ/เลขานุการโครงการ/กิจกรรมต่างๆ</t>
  </si>
  <si>
    <t>/</t>
  </si>
  <si>
    <t>ผลรวม</t>
  </si>
  <si>
    <t xml:space="preserve">สรุปคะแนนส่วนผลสัมฤทธิ์ของงาน = </t>
  </si>
  <si>
    <t>ผลรวมของค่าคะแนนถ่วงน้ำหนัก</t>
  </si>
  <si>
    <t>จำนวนระดับค่าเป้าหมาย=5</t>
  </si>
  <si>
    <t xml:space="preserve">หมายเหตุ: </t>
  </si>
  <si>
    <t>2) ค่าคะแนนถ่วงน้ำหนัก คิดคำนวณโดย ให้นำ ก x ข เมื่อ ข อาจเป็น ข1 ข2 หรือ ข3  ทั้งนี้ขึ้นอยู่กับสถานะภาพของผู้ถูกประเมิน ตามหมายเหตุ 1)</t>
  </si>
  <si>
    <t>3)  ช่วงคะแนนตามที่คณะ/หน่วยงานกำหนด</t>
  </si>
  <si>
    <t>2. การประเมินพฤติกรรมการปฏิบัติราชการหรือสมรรถนะ</t>
  </si>
  <si>
    <t>สมรรถนะ</t>
  </si>
  <si>
    <t>ระดับสมรรถนะ</t>
  </si>
  <si>
    <t>ระดับสมรรถนะที่คาดหวัง</t>
  </si>
  <si>
    <t>ระดับสมรรถนะที่แสดงออก</t>
  </si>
  <si>
    <t>สมรรถนะหลัก</t>
  </si>
  <si>
    <t xml:space="preserve">  1.  การมุ่งผลสัมฤทธิ์</t>
  </si>
  <si>
    <t xml:space="preserve">  2. บริการที่ดี</t>
  </si>
  <si>
    <t xml:space="preserve">  3. การสั่งสมความเชี่ยวชาญในงานอาชีพ</t>
  </si>
  <si>
    <t xml:space="preserve">  4. การยึดมั่นในความถูกต้อง เชี่ยวชาญ และจริยธรรม</t>
  </si>
  <si>
    <t xml:space="preserve">  5. การทำงานเป็นทีม</t>
  </si>
  <si>
    <t>สมรรถนะเฉพาะตามลักษณะงาน</t>
  </si>
  <si>
    <t>1.การคิดวิเคราะห์</t>
  </si>
  <si>
    <t>2. การสืบเสาะหาข้อมูล</t>
  </si>
  <si>
    <t>3. ศิลปะการสื่อสารจูงใจ</t>
  </si>
  <si>
    <t>สมรรถนะทางการบริหาร (เฉพาะตำแหน่งทางการบริหาร)</t>
  </si>
  <si>
    <t>1. สภาวะผู้นำ</t>
  </si>
  <si>
    <t>2. วิสัยทัศน์</t>
  </si>
  <si>
    <t>3. การวางกลยุทธ์ของหน่วยงาน</t>
  </si>
  <si>
    <t>4. การสอนงานและการมอบหมายงาน</t>
  </si>
  <si>
    <t>รวม</t>
  </si>
  <si>
    <t>เกณฑ์การประเมิน</t>
  </si>
  <si>
    <t>การประเมิน</t>
  </si>
  <si>
    <t>จำนวนสมรรถนะ</t>
  </si>
  <si>
    <t>คูณด้วย</t>
  </si>
  <si>
    <t>คะแนน</t>
  </si>
  <si>
    <t>ผลรวมคะแนน</t>
  </si>
  <si>
    <t xml:space="preserve">สรุปคะแนนส่วนพฤติกรรมการปฏิบัติราชการ (สมรรถนะ) =
                                                                                          </t>
  </si>
  <si>
    <t>ขอรับรองว่าข้อความดังกล่าวเป็นจริง
และได้แนบเอกสารเพื่อประกอบการประเมินแล้ว</t>
  </si>
  <si>
    <t xml:space="preserve">ลงชื่อ   ...........…………….......……….................………………...ผู้รับการประเมิน      </t>
  </si>
  <si>
    <t>ลงชื่อ   .....................................……………………………………...ผู้ประเมิน</t>
  </si>
  <si>
    <t xml:space="preserve">           ตำแหน่ง  .......................................................</t>
  </si>
  <si>
    <t>วันที่........เดือน ...................... พ.ศ..................</t>
  </si>
  <si>
    <t>ส่วนที่ 1 ข้อมูลของผู้รับการประเมิน</t>
  </si>
  <si>
    <t xml:space="preserve">ชื่อผู้รับการประเมิน </t>
  </si>
  <si>
    <t>ประเภทบุคลากร</t>
  </si>
  <si>
    <t>[   ]  ข้าราชการ   [   ]  พนักงานมหาวิทยาลัย   [   ]  ลูกจ้างประจำ</t>
  </si>
  <si>
    <t>ชื่อผู้ประเมิน</t>
  </si>
  <si>
    <t>ตำแหน่งผู้ประเมิน</t>
  </si>
  <si>
    <t>ส่วนที่ 2 การสรุปผลการประเมิน</t>
  </si>
  <si>
    <t>องค์ประกอบการประเมิน</t>
  </si>
  <si>
    <t>น้ำหนัก (ข) %</t>
  </si>
  <si>
    <t>รวมคะแนน (ก) x (ข)</t>
  </si>
  <si>
    <t>องค์ประกอบที่ 1 : ผลสัมฤทธิ์ของงาน</t>
  </si>
  <si>
    <t>70</t>
  </si>
  <si>
    <t>องค์ประกอบที่ 2 : พฤติกรรมการปฏิบัติราชการ(สมรรถนะ)</t>
  </si>
  <si>
    <t>30</t>
  </si>
  <si>
    <t>องค์ประกอบอื่น(ถ้ามี)</t>
  </si>
  <si>
    <t>100 %</t>
  </si>
  <si>
    <t>ระดับผลการประเมิน</t>
  </si>
  <si>
    <t>ดีเด่น</t>
  </si>
  <si>
    <t xml:space="preserve">ร้อยละ 90-100 </t>
  </si>
  <si>
    <t>ดีมาก</t>
  </si>
  <si>
    <t>ร้อยละ 80-89</t>
  </si>
  <si>
    <t>ดี</t>
  </si>
  <si>
    <t>ร้อยละ 70-79</t>
  </si>
  <si>
    <t>พอใช้</t>
  </si>
  <si>
    <t>ร้อยละ 60-69</t>
  </si>
  <si>
    <t>ต้องปรับปรุง</t>
  </si>
  <si>
    <t>ต่ำกว่าร้อยละ 60</t>
  </si>
  <si>
    <t>ความเห็นในการปฏิบัติงานของผู้รับการประเมินในรอบ 6 เดือน ที่ผ่านมา</t>
  </si>
  <si>
    <t>1. จุดเด่น............................................................................................................................................................</t>
  </si>
  <si>
    <t>2. สิ่งที่ควรจะพัฒนาต่อไปได้อีก.............................................................................................................................</t>
  </si>
  <si>
    <t>3. ความรู้ ความสามารถ และศักยภาพอื่นๆ ของผู้รับการประเมินที่ควรจะนำไปใช้ประโยชน์ให้มากขึ้น</t>
  </si>
  <si>
    <t>..........................................................................................................................................................</t>
  </si>
  <si>
    <t>ส่วนที่ 3 แผนพัฒนาการปฏิบัติราชการรายบุคคล</t>
  </si>
  <si>
    <t>ความรู้/ทักษะ/สมรรถนะที่ต้องได้รับการพัฒนา</t>
  </si>
  <si>
    <t>วิธีการพัฒนา</t>
  </si>
  <si>
    <t>ช่วงเวลาที่ต้องการการพัฒนา</t>
  </si>
  <si>
    <t>หมายเหตุ</t>
  </si>
  <si>
    <t>วิธีการพัฒนา :  A = เรียนรู้จากการปฏิบัติ (Action learning)  C  = การสอนงาน (Coaching)               OJT = การปฏิบัติในงาน (On the job training)</t>
  </si>
  <si>
    <t xml:space="preserve">                        P = มอบหมายงาน (Project Assignment)     E = พบผู้เชี่ยวชาญ (Expert Briefing)    W = ติดตามผู้มีประสบการณ์ (Work Shadoring)</t>
  </si>
  <si>
    <t xml:space="preserve">                        S = ศึกษาด้วยตนเอง (Self Assignment)       J  = แลกเปลี่ยนงาน (Job  Swap)          T = ฝึกอบรมประชุมปฏิบัติการ (Training)</t>
  </si>
  <si>
    <t xml:space="preserve">                        F =  ศึกษาดูงาน (Field Trip)                          M = พี่เลี้ยง (Mentoring)                       OTH = อื่นๆ (Other) ……ระบุ.........</t>
  </si>
  <si>
    <t>ส่วนที่ 4 การรับทราบผลการประเมิน</t>
  </si>
  <si>
    <t>ผู้รับการประเมิน</t>
  </si>
  <si>
    <t xml:space="preserve">[   ]  ได้รับทราบผลการประเมินและแผนพัฒนาการปฏิบัติราชการ </t>
  </si>
  <si>
    <t>ลงชื่อ....................................................................</t>
  </si>
  <si>
    <t xml:space="preserve">        รายบุคคล</t>
  </si>
  <si>
    <t>วันที่......................................................................</t>
  </si>
  <si>
    <t>ผู้ประเมิน:</t>
  </si>
  <si>
    <t>[   ]  ได้แจ้งผลการประเมินและผู้รับการประเมินได้ลงนามรับทราบ</t>
  </si>
  <si>
    <t xml:space="preserve">[   ]  ได้แจ้งผลการประเมินเมื่อวันที่...........................................          </t>
  </si>
  <si>
    <t xml:space="preserve">        แต่ผู้รับการประเมินไม่ลงนามรับทราบ</t>
  </si>
  <si>
    <t xml:space="preserve">        โดยมี...................................................เป็นพยาน</t>
  </si>
  <si>
    <t>วันที่.....................................................................</t>
  </si>
  <si>
    <t xml:space="preserve">        ลงชื่อ............................................................พยาน</t>
  </si>
  <si>
    <t xml:space="preserve">        ตำแหน่ง......................................................</t>
  </si>
  <si>
    <t xml:space="preserve">        วันที่..............................................................</t>
  </si>
  <si>
    <t>ส่วนที่5: ความเห็นของผู้บังคับบัญชาเหนือขึ้นไป</t>
  </si>
  <si>
    <t>[   ]  เห็นด้วยกับผลการประเมิน</t>
  </si>
  <si>
    <t>[   ]  มีความเห็นต่าง ดังนี้</t>
  </si>
  <si>
    <t>ตำแหน่ง...............................................................</t>
  </si>
  <si>
    <t xml:space="preserve">       ....................................................................................</t>
  </si>
  <si>
    <t>ผู้บังคับบัญชาเหนือขึ้นไปอีกชั้นหนึ่ง (ถ้ามี) :</t>
  </si>
  <si>
    <t>คำชี้แจง : แบบสรุปการประเมินผลการปฏิบัติราชการนี้มี 5 ส่วน ประกอบด้วย</t>
  </si>
  <si>
    <t xml:space="preserve">              ระบุรายละเอียดต่างๆ ที่เกี่ยวข้องกับตัวผู้รับการประเมิน</t>
  </si>
  <si>
    <t xml:space="preserve">              การกรอกผลการประเมิน โดยกรอกค่าคะแนนการประเมินในองค์ประกอบด้านผลสัมฤทธิ์ของงาน องค์ประกอบด้าน</t>
  </si>
  <si>
    <t xml:space="preserve">              พฤติกรรมการปฏิบัติราชการ และน้ำหนักของทั้งสององค์ประกอบ ในแบบสรุปส่วนที่ 2 นี้ยังใช้สำหรับคำนวณคะแนน</t>
  </si>
  <si>
    <t xml:space="preserve">              ผลการปฏิบัติราชการรวมด้วย       </t>
  </si>
  <si>
    <t xml:space="preserve">              - สำหรับคะแนนองค์ประกอบด้านผลสัมฤทธิ์ของงาน ให้นำมาจากแบบประเมินผลสัมฤทธิ์ของงาน</t>
  </si>
  <si>
    <t xml:space="preserve">                 โดยให้แนบท้ายแบบสรุปฉบับนี้</t>
  </si>
  <si>
    <t xml:space="preserve">              - สำหรับคะแนนองค์ประกอบด้านพฤติกรรมการปฏิบัติราชการให้นำมาจากแบบประเมินสมรรถนะ</t>
  </si>
  <si>
    <t xml:space="preserve">              ผู้ประเมินและผู้รับการประเมินร่วมกันจัดทำแผนพัฒนาผลการปฏิบัติราชการ</t>
  </si>
  <si>
    <t xml:space="preserve">              ผู้รับการประเมินลงนามรับทราบผลการประเมิน</t>
  </si>
  <si>
    <t xml:space="preserve">              ผู้บังคับบัญชาเหนือขึ้นไปกลั่นกรองผลประเมิน แผนพัฒนาผลการปฏิบัติราชการ และให้ความเห็น</t>
  </si>
  <si>
    <r>
      <t xml:space="preserve">1) </t>
    </r>
    <r>
      <rPr>
        <b/>
        <sz val="12"/>
        <rFont val="Browallia New"/>
        <family val="2"/>
      </rPr>
      <t xml:space="preserve"> อาจารย์ </t>
    </r>
    <r>
      <rPr>
        <sz val="12"/>
        <rFont val="Browallia New"/>
        <family val="2"/>
      </rPr>
      <t xml:space="preserve"> หมายถึง  อาจารย์ผู้ปฏิบัติงานสอนแบบเต็มเวลา </t>
    </r>
    <r>
      <rPr>
        <b/>
        <sz val="12"/>
        <rFont val="Browallia New"/>
        <family val="2"/>
      </rPr>
      <t xml:space="preserve">  ผู้บริหาร 1 </t>
    </r>
    <r>
      <rPr>
        <sz val="12"/>
        <rFont val="Browallia New"/>
        <family val="2"/>
      </rPr>
      <t xml:space="preserve">หมายถึง  รองคณบดี หัวหน้าภาค/สาขาวิชา และผู้ช่วยคณบดี </t>
    </r>
    <r>
      <rPr>
        <b/>
        <sz val="12"/>
        <rFont val="Browallia New"/>
        <family val="2"/>
      </rPr>
      <t xml:space="preserve">   ผู้บริหาร 2 </t>
    </r>
    <r>
      <rPr>
        <sz val="12"/>
        <rFont val="Browallia New"/>
        <family val="2"/>
      </rPr>
      <t xml:space="preserve">  หมายถึง  คณบดี</t>
    </r>
  </si>
  <si>
    <r>
      <rPr>
        <b/>
        <sz val="14"/>
        <rFont val="Browallia New"/>
        <family val="2"/>
      </rPr>
      <t>ส่วนที่ 2 การสรุปผลการประเมิน</t>
    </r>
    <r>
      <rPr>
        <sz val="14"/>
        <rFont val="Browallia New"/>
        <family val="2"/>
      </rPr>
      <t xml:space="preserve"> </t>
    </r>
  </si>
  <si>
    <r>
      <rPr>
        <b/>
        <u val="single"/>
        <sz val="14"/>
        <rFont val="Browallia New"/>
        <family val="2"/>
      </rPr>
      <t>ส่วนที่ 3 แผนพัฒนาการปฏิบัติราชการรายบุคคล</t>
    </r>
    <r>
      <rPr>
        <sz val="14"/>
        <rFont val="Browallia New"/>
        <family val="2"/>
      </rPr>
      <t xml:space="preserve">  </t>
    </r>
  </si>
  <si>
    <r>
      <rPr>
        <b/>
        <u val="single"/>
        <sz val="14"/>
        <rFont val="Browallia New"/>
        <family val="2"/>
      </rPr>
      <t>ส่วนที่ 4 การรับทราบผลการประเมิน</t>
    </r>
    <r>
      <rPr>
        <sz val="14"/>
        <rFont val="Browallia New"/>
        <family val="2"/>
      </rPr>
      <t xml:space="preserve">  </t>
    </r>
  </si>
  <si>
    <r>
      <rPr>
        <b/>
        <u val="single"/>
        <sz val="14"/>
        <rFont val="Browallia New"/>
        <family val="2"/>
      </rPr>
      <t>ส่วนที่ 5 ความเห็นของผู้บังคับบัญชาเหนือขึ้นไป</t>
    </r>
    <r>
      <rPr>
        <sz val="14"/>
        <rFont val="Browallia New"/>
        <family val="2"/>
      </rPr>
      <t xml:space="preserve">  </t>
    </r>
  </si>
  <si>
    <r>
      <t>ผู้บังคับบัญชาเหนือขึ้นไป</t>
    </r>
    <r>
      <rPr>
        <sz val="14"/>
        <rFont val="Browallia New"/>
        <family val="2"/>
      </rPr>
      <t>:</t>
    </r>
  </si>
  <si>
    <r>
      <t>บรรยาย ป.ตรี หรืออนุปริญญา&lt; 20 คน/</t>
    </r>
    <r>
      <rPr>
        <u val="single"/>
        <sz val="10"/>
        <rFont val="Browallia New"/>
        <family val="2"/>
      </rPr>
      <t xml:space="preserve"> สอนซ้ำ</t>
    </r>
  </si>
  <si>
    <r>
      <t xml:space="preserve">แบบบันทึกภาระงานการสอนโดยตรง  </t>
    </r>
    <r>
      <rPr>
        <b/>
        <sz val="18"/>
        <color indexed="10"/>
        <rFont val="Browallia New"/>
        <family val="2"/>
      </rPr>
      <t>ในเวลาราชการ</t>
    </r>
  </si>
  <si>
    <r>
      <t xml:space="preserve">แบบบันทึกภาระงานการสอนโดยตรง  </t>
    </r>
    <r>
      <rPr>
        <b/>
        <sz val="18"/>
        <color indexed="10"/>
        <rFont val="Browallia New"/>
        <family val="2"/>
      </rPr>
      <t>นอกเวลาราชการ</t>
    </r>
  </si>
  <si>
    <r>
      <t>ชื่อผู้บังคับบัญชา/ผู้ประเมิน</t>
    </r>
    <r>
      <rPr>
        <sz val="14"/>
        <rFont val="Browallia New"/>
        <family val="2"/>
      </rPr>
      <t xml:space="preserve"> </t>
    </r>
  </si>
  <si>
    <t xml:space="preserve">ตำแหน่ง </t>
  </si>
  <si>
    <t>อาจารย์</t>
  </si>
  <si>
    <t>สอบสัมภาษณ์เอกคู่</t>
  </si>
  <si>
    <t>รอบที่ 1 เดือนสิงหาคม2562 - มกราคม 2563</t>
  </si>
  <si>
    <t>คะแนน (ก)</t>
  </si>
  <si>
    <t>สมรรถนะย่อย</t>
  </si>
  <si>
    <t>คำจำกัดความ</t>
  </si>
  <si>
    <t>ระดับ</t>
  </si>
  <si>
    <t>รายการ</t>
  </si>
  <si>
    <t>การดำเนินการ</t>
  </si>
  <si>
    <t>ข้อมูล</t>
  </si>
  <si>
    <t xml:space="preserve">สมรรถนะหลักมหาวิทยาลัย (University Core Competency) </t>
  </si>
  <si>
    <t>ความเป็นหนึ่งเดียวกัน (U : Unity)</t>
  </si>
  <si>
    <t xml:space="preserve">ความเข้าใจบทบาทและหน้าที่ของตนเองในฐานะที่เป็นสมาชิกหนึ่งของทีม รวมทั้งการมีส่วนร่วมในการทางาน ให้เกียรติ ให้ความร่วมมือ ร่วมใจในการแก้ไขปัญหา แลกเปลี่ยนประสบการณ์และความคิดเห็นต่าง ๆ กับสมาชิกในทีม </t>
  </si>
  <si>
    <t xml:space="preserve">ระดับที่ 1 ทาหน้าที่ของตนในทีมให้สาเร็จ </t>
  </si>
  <si>
    <t xml:space="preserve"> รับรู้และเข้าใจบทบาทและหน้าที่ของตนเอง </t>
  </si>
  <si>
    <t xml:space="preserve"> เข้าร่วมประชุมกับทีมงานเพื่อรับรู้ถึงเป้าหมาย และความคืบหน้าของงาน </t>
  </si>
  <si>
    <t xml:space="preserve"> ให้ข้อมูลรายละเอียดต่าง ๆ ได้ครบถ้วนตามที่สมาชิกในทีมร้องขอ </t>
  </si>
  <si>
    <t xml:space="preserve"> สามารถปฏิบัติงานให้บรรลุเป้าหมายของทีมงานได้ </t>
  </si>
  <si>
    <t xml:space="preserve">ระดับที่ 2 มีส่วนร่วมในการกาหนดภารกิจและเป้าหมาย ของทีม </t>
  </si>
  <si>
    <t xml:space="preserve"> มีเป้าหมายของการทางานร่วมกันและช่วยสมาชิกในการทางานให้บรรลุเป้าหมายของทีม </t>
  </si>
  <si>
    <t xml:space="preserve"> กระตุ้นจูงใจให้สมาชิกในทีมแลกเปลี่ยนความคิดเห็นซึ่งกันและกัน </t>
  </si>
  <si>
    <t xml:space="preserve"> ชี้ให้สมาชิกเห็นถึงอุปสรรคหรือปัญหาที่คาดว่าจะเกิดขึ้นของทีมงาน </t>
  </si>
  <si>
    <t xml:space="preserve"> นาเสนอแนวทางเลือกในการแก้ไขปัญหาที่เกิดขึ้นของสมาชิกในทีม </t>
  </si>
  <si>
    <t xml:space="preserve">ระดับที่ 3กระตุ้นให้สมาชิกมีส่วนร่วมในการตัดสินใจของทีม </t>
  </si>
  <si>
    <t xml:space="preserve"> เห็นคุณค่าและความสาคัญถึงความหลากหลายของทัศนคติ ความสามารถของสมาชิก </t>
  </si>
  <si>
    <t xml:space="preserve"> ส่งเสริมบรรยากาศของการสนับสนุน การยอมรับและเปิดเผยข้อมูลซึ่งกันและกันภายในทีม </t>
  </si>
  <si>
    <t xml:space="preserve"> แก้ไขปัญหาความขัดแย้งที่เกิดขึ้นของสมาชิกในทีม </t>
  </si>
  <si>
    <t xml:space="preserve"> สนับสนุนความเป็นหนึ่งเดียวกันมากกว่าการแข่งขันกัน </t>
  </si>
  <si>
    <t xml:space="preserve">ระดับที่ 4 กำหนดบทบาทและหน้าที่ของสมาชิกในทีม </t>
  </si>
  <si>
    <t xml:space="preserve"> วิเคราะห์ วิจารณ์และให้ข้อเสนอแนะขั้นตอนการทางานที่ไม่มีประสิทธิภาพ และเสนอแนะวิธีการปรับปรุงอย่างสร้างสรรค์ สุภาพและให้เกียรติ </t>
  </si>
  <si>
    <t xml:space="preserve"> ส่งเสริมบรรยากาศของการมีส่วนร่วม และความผูกพันต่อเป้าหมายของทีม </t>
  </si>
  <si>
    <t xml:space="preserve"> วิเคราะห์หาข้อสรุปและนาความคิดเห็นของทีมงานไปปฏิบัติ </t>
  </si>
  <si>
    <t xml:space="preserve"> สอนสมาชิกในการทางานเป็นทีมให้บรรลุผลสาเร็จ </t>
  </si>
  <si>
    <t xml:space="preserve">ระดับที่ 5สามารถนาทีมให้ปฏิบัติภารกิจให้ได้ผลสาเร็จ </t>
  </si>
  <si>
    <t xml:space="preserve"> กาหนดกลยุทธ์และทิศทางของทีมงานโดยเชื่อมโยงกับเป้าหมายของส่วนงาน </t>
  </si>
  <si>
    <t xml:space="preserve"> ติดตามและประเมินผลการทางานของสมาชิกในทีมอย่างต่อเนื่อง </t>
  </si>
  <si>
    <t xml:space="preserve"> ให้คาปรึกษาแนะนาแก่สมาชิกในทีมถึงแนวทางและวิธีการทางานให้มีประสิทธิภาพ </t>
  </si>
  <si>
    <t xml:space="preserve"> สนับสนุนให้สมาชิกในทีมทางานร่วมกับทีมงานอื่น ทั้งภายในและภายนอกส่วนงาน </t>
  </si>
  <si>
    <t>ความยึดมั่นในคุณธรรม จริยธรรม (M : Morals)</t>
  </si>
  <si>
    <t xml:space="preserve">มีคุณธรรม จริยธรรม ซื่อสัตย์สุจริต ปฏิบัติงานด้วยความโปร่งใส มีวินัยในตนเอง ยึดมั่นในหลัก คุณธรรม จริยธรรมในวิชาชีพ รักษาวาจา เชื่อถือและไว้วางใจได้เสมอ </t>
  </si>
  <si>
    <t xml:space="preserve">ระดับที่ 1 ปฏิบัติหน้าที่ด้วยความสุจริต </t>
  </si>
  <si>
    <t xml:space="preserve"> ปฏิบัติหน้าที่ด้วยความโปร่งใส ซื่อสัตย์สุจริต ถูกต้องตามหลักกฎหมาย จริยธรรมและระเบียบวินัย </t>
  </si>
  <si>
    <t xml:space="preserve"> ซื่อตรง ไม่คดโกง ไม่ใช้เวลาและทรัพย์สินของส่วนงานเพื่อประโยชน์ของตนเอง </t>
  </si>
  <si>
    <t xml:space="preserve"> แสดงออกถึงการยอมรับผิดในงานที่ตนรับผิดชอบโดยไม่กล่าวโทษผู้อื่น </t>
  </si>
  <si>
    <t xml:space="preserve"> รักษาความลับของส่วนงาน โดยไม่นาไปบอกกล่าวให้ผู้อื่นรับรู้ </t>
  </si>
  <si>
    <t xml:space="preserve">ระดับที่ 2เชื่อถือได้ </t>
  </si>
  <si>
    <t xml:space="preserve"> รักษาวาจา พูดความจริง ตรงไปตรงมา ไม่บิดเบือนอ้างข้อยกเว้นให้ตนเอง </t>
  </si>
  <si>
    <t xml:space="preserve"> ตักเตือนสมาชิกในทีม เมื่อทาผิดระเบียบหรือกฎของมหาวิทยาลัย </t>
  </si>
  <si>
    <t xml:space="preserve"> รักษาคุณความดี ละเว้นความชั่ว ตามค่านิยมที่ดีของศาสนาและสังคม </t>
  </si>
  <si>
    <t xml:space="preserve"> มีจิตสานึกและความภาคภูมิใจในความเป็นพนักงานมหาวิทยาลัย อุทิศแรงกายแรงใจผลักดันให้ภารกิจหลักของตนและส่วนงานบรรลุผล </t>
  </si>
  <si>
    <t xml:space="preserve">ระดับที่ 3ยึดมั่นในหลักการ </t>
  </si>
  <si>
    <t xml:space="preserve"> มีสัจจะ รักษาคาพูด คามั่นสัญญา และสุจริตโปร่งใสอย่างเสมอต้นเสมอปลาย </t>
  </si>
  <si>
    <t xml:space="preserve"> กระตุ้นจูงใจให้สมาชิกในทีมรักษาจรรยาบรรณ ปฏิบัติตามระเบียบวินัย มีความซื่อสัตย์ในการทางาน </t>
  </si>
  <si>
    <t xml:space="preserve"> อดทน อดกลั้นต่อสิ่งไม่ดีงาม สิ่งล่อตาล่อใจ ที่จะนาไปสู่ความไม่เหมาะสม </t>
  </si>
  <si>
    <t xml:space="preserve"> หนักแน่น สงบ สุภาพ ในสถานการณ์สับสน ตึงเครียด หรือยั่วยุ รวมถึงยืนหยัดบนความถูกต้อง ไม่แสดงความท้อถอยต่ออุปสรรคและความยากลาบาก </t>
  </si>
  <si>
    <t xml:space="preserve">ระดับที่ 4ธารงความถูกต้อง </t>
  </si>
  <si>
    <t xml:space="preserve"> เป็นตัวอย่างที่ดีของพนักงานมหาวิทยาลัยในการยึดมั่นคุณธรรม จริยธรรม และจรรยาบรรณของวิชาชีพ </t>
  </si>
  <si>
    <t xml:space="preserve"> ถ่ายทอดหลักจรรยาบรรณของมหาวิทยาลัยให้กับบุคคลภายนอกรับรู้ได้ </t>
  </si>
  <si>
    <t xml:space="preserve"> เข้มงวดในการรักษาระเบียบ วินัย และความเรียบร้อย ถูกต้องในการปฏิบัติงานอย่างสม่าเสมอ </t>
  </si>
  <si>
    <t xml:space="preserve"> พัฒนาระบบงานเพื่อให้พนักงานมหาวิทยาลัยปฏิบัติได้ด้วยความเปิดเผย โปร่งใส สามารถตรวจสอบถ่วงดุลกันได้ </t>
  </si>
  <si>
    <t xml:space="preserve">ระดับที่ 5 อุทิศตนเพื่อความยุติธรรม </t>
  </si>
  <si>
    <t xml:space="preserve"> กล้าตัดสินใจ ปฏิบัติงานด้วยความถูกต้อง โปร่งใส เป็นธรรม แม้ผลของการปฏิบัติอาจสร้างศัตรูหรือก่อความไม่พอใจให้แก่ผู้ที่เกี่ยวข้องหรือเสียประโยชน์ </t>
  </si>
  <si>
    <t xml:space="preserve"> ยืนหยัดเพื่อพิทักษ์ความถูกต้อง ชื่อเสียงของส่วนงานและมหาวิทยาลัย แม้อาจทาให้มีผู้เสียประโยชน์หรือเกิดความไม่พอใจก็ตาม </t>
  </si>
  <si>
    <t>สมรรถนะทางการบริหาร (Managerial Competency)</t>
  </si>
  <si>
    <t xml:space="preserve">ความสามารถในการวางตนและเป็นตัวอย่างที่ดี การมีศิลปะในการโน้มน้าว จูงใจ กระตุ้นและให้กาลังใจแก่ผู้ร่วมงานเพื่อให้เกิดความร่วมมือในการปฏิบัติงานเต็มประสิทธิภาพและบรรลุวัตถุประสงค์ของมหาวิทยาลัย </t>
  </si>
  <si>
    <t xml:space="preserve">ระดับที่ 1 บริหารการประชุมได้ดีและคอยชี้แจงข่าวสารความเป็นไปอยู่เสมอ </t>
  </si>
  <si>
    <t xml:space="preserve"> กาหนดประเด็นหัวข้อในการประชุม วัตถุประสงค์ ควบคุมเวลา และแจกแจงหน้าที่รับผิดชอบให้แก่บุคคลในกลุ่มได้ </t>
  </si>
  <si>
    <t xml:space="preserve"> แจ้งข่าวสารให้ผู้ที่จะได้รับผลกระทบจากการตัดสินใจรับทราบอยู่เสมอ แม้ไม่ได้ถูกกาหนดให้ต้องกระทา </t>
  </si>
  <si>
    <t xml:space="preserve"> อธิบายเหตุผลในการตัดสินใจให้ผู้ที่เกี่ยวข้องทราบ </t>
  </si>
  <si>
    <t xml:space="preserve"> ปฏิบัติต่อสมาชิกในทีมด้วยความยุติธรรม </t>
  </si>
  <si>
    <t xml:space="preserve">ระดับที่ 2 เป็นผู้นาในการทางานของกลุ่ม </t>
  </si>
  <si>
    <t xml:space="preserve"> ลงมือกระทาการเพื่อช่วยให้กลุ่มปฏิบัติหน้าที่ได้อย่างเต็มประสิทธิภาพ </t>
  </si>
  <si>
    <t xml:space="preserve"> กาหนดเป้าหมายทิศทางที่ชัดเจน ใช้โครงสร้างที่เหมาะสม เลือกคนให้เหมาะกับงาน หรือใช้วิธีการอื่นๆเพื่อช่วยสร้างสภาวะที่จะทาให้กลุ่มทางานได้ดีขึ้น </t>
  </si>
  <si>
    <t xml:space="preserve"> เปิดใจกว้างรับฟังความคิดเห็นของผู้อื่นเพื่อสนับสนุนให้กลุ่มหรือกระบวนการปฏิบัติงานมี ประสิทธิภาพยิ่งขึ้น </t>
  </si>
  <si>
    <t xml:space="preserve"> สร้างขวัญกาลังใจในการปฏิบัติงาน หรือให้โอกาสผู้ใต้บังคับบัญชาในการแสดงศักยภาพการทางานอย่างเต็มที่ เพื่อเสริมประสิทธิภาพ </t>
  </si>
  <si>
    <t>ระดับที่ 3ให้การดูแลและช่วยเหลือทีมงาน</t>
  </si>
  <si>
    <t xml:space="preserve"> เป็นที่ปรึกษาและช่วยเหลือทีมงาน </t>
  </si>
  <si>
    <t xml:space="preserve"> ปกป้องทีมงาน และชื่อเสียงของส่วนงาน มหาวิทยาลัย </t>
  </si>
  <si>
    <t xml:space="preserve"> จัดหาบุคลากร ทรัพยากร หรือข้อมูลที่สาคัญมาให้ทีมงาน </t>
  </si>
  <si>
    <t xml:space="preserve"> ช่วยเหลือให้ทีมงานเข้าใจถึงการปรับเปลี่ยนที่เกิดขึ้นภายในองค์กรและความจาเป็นในการปรับเปลี่ยนนั้น ๆ </t>
  </si>
  <si>
    <t xml:space="preserve">ระดับที่ 4 ประพฤติตนเหมาะสมกับการเป็นผู้นา </t>
  </si>
  <si>
    <t xml:space="preserve"> กาหนดธรรมเนียมปฏิบัติประจากลุ่มและประพฤติตนเป็นแบบอย่างที่ดีแก่ทีมงาน </t>
  </si>
  <si>
    <t xml:space="preserve"> ยึดหลักธรรมาภิบาล ( Good Governance) (นิติธรรม คุณธรรม โปร่งใส การมีส่วนร่วม ความ รับผิดชอบ ความคุ้มค่า) ในการปกครองทีมงาน และผู้ใต้บังคับบัญชา </t>
  </si>
  <si>
    <t xml:space="preserve"> สนับสนุนการมีส่วนร่วมของทีมงาน ผู้ใต้บังคับบัญชาในการอุทิศตนให้กับการปฏิบัติงานเพื่อสนองนโยบายขององค์กร </t>
  </si>
  <si>
    <t xml:space="preserve">ระดับที่ 5 แสดงวิสัยทัศน์ที่ชัดเจนต่อทีมงาน และผู้ใต้บังคับบัญชา </t>
  </si>
  <si>
    <t xml:space="preserve"> สื่อสารวิสัยทัศน์ที่มีพลัง สามารถรวมใจคนและสร้างแรงบันดาลใจให้ผู้ใต้บังคับบัญชาสามารถ ปฏิบัติงานให้ภารกิจสาเร็จลุล่วงได้จริง </t>
  </si>
  <si>
    <t xml:space="preserve"> เป็นผู้นาในการปรับเปลี่ยนขององค์กร ผลักดันให้การปรับเปลี่ยนดาเนินไปได้อย่างราบรื่นและประสบความสาเร็จได้ด้วยกลยุทธ์และวิธีการดาเนินการที่เหมาะสม </t>
  </si>
  <si>
    <t xml:space="preserve"> มีวิสัยทัศน์ในการเล็งเห็นการเปลี่ยนแปลงในอนาคต และเตรียมการสร้างกลยุทธ์ให้กับองค์กร ในการรับมือกับการเปลี่ยนแปลงนั้น ๆ </t>
  </si>
  <si>
    <t xml:space="preserve">ความสามารถในการกาหนดวิสัยทัศน์ ภารกิจ และเป้าหมายการทางานของหน่วยงานที่ชัดเจนให้ตอบสนองต่อวิสัยทัศน์และเป้าหมายของมหาวิทยาลัย และสามารถผลักดันและกระตุ้นให้ผู้อื่นความร่วมแรงร่วมใจเพื่อให้ภารกิจบรรลุวัตถุประสงค์ </t>
  </si>
  <si>
    <t xml:space="preserve">ระดับที่ 1 รู้และเข้าใจวิสัยทัศน์ขององค์กร </t>
  </si>
  <si>
    <t xml:space="preserve"> รู้เข้าใจและสามารถอธิบายให้ผู้อื่นเข้าใจได้ว่างานที่ทาอยู่นั้นเกี่ยวข้องหรือตอบสนองต่อ วิสัยทัศน์ของมหาวิทยาลัยอย่างไร </t>
  </si>
  <si>
    <t xml:space="preserve"> เชื่อมโยงวิสัยทัศน์ของหน่วยงานกับเป้าหมาย วัตถุประสงค์และกลยุทธ์ขององค์กรโดยรวมได้ </t>
  </si>
  <si>
    <t xml:space="preserve">ระดับที่ 2ให้ผู้อื่นได้มีส่วนร่วมในการกาหนดวิสัยทัศน์ </t>
  </si>
  <si>
    <t xml:space="preserve"> อธิบายให้ผู้อื่นรู้และเข้าใจวิสัยทัศน์และเป้าหมายการทางานของหน่วยงานภายใต้ภาพรวม ของมหาวิทยาลัยได้ </t>
  </si>
  <si>
    <t xml:space="preserve"> แลกเปลี่ยนข้อมูลรวมถึงรับฟังความคิดเห็นของผู้อื่นเพื่อประกอบการกาหนดวิสัยทัศน์ </t>
  </si>
  <si>
    <t xml:space="preserve"> แบ่งปันความรับผิดชอบในการกาหนดวิสัยทัศน์ระยะยาวโดยให้ผู้อื่นได้มีส่วนร่วมหรือแสดงความคิดเห็นด้วย </t>
  </si>
  <si>
    <t xml:space="preserve">ระดับที่ 3 สร้างแรงจูงใจให้ผู้อื่นเต็มใจที่จะปฏิบัติตามวิสัยทัศน์ </t>
  </si>
  <si>
    <t xml:space="preserve"> โน้มน้าวให้สมาชิกในทีมเกิดความเต็มใจและกระตือรือร้นที่จะปฏิบัติหน้าที่ของตนเองเพื่อ ตอบสนองต่อวิสัยทัศน์ </t>
  </si>
  <si>
    <t xml:space="preserve"> ให้คาปรึกษาแนะนาแก่สมาชิกในทีมถึงแนวทางในการทางานโดยยึดถือวิสัยทัศน์และเป้าหมายขององค์กรเป็นสาคัญ </t>
  </si>
  <si>
    <t xml:space="preserve"> สามารถสอนงานและการปฏิบัติงานของสมาชิกในทีมบรรลุเป้าหมายตามวิสัยทัศน์ได้ </t>
  </si>
  <si>
    <t xml:space="preserve"> ถ่ายทอดวิสัยทัศน์ของหน่วยงานที่ดูแลรับผิดชอบอยู่ด้วยวิธีสร้างแรงบันดาลใจ ความกระตือรือร้นและความร่วมแรงร่วมใจให้บรรลุวิสัยทัศน์นั้น </t>
  </si>
  <si>
    <t xml:space="preserve">ระดับที่ 4 ใช้วิสัยทัศน์มาช่วยกาหนดนโยบายในงาน </t>
  </si>
  <si>
    <t xml:space="preserve"> มีการพัฒนาปรับปรุงนโยบายใหม่ๆ เพื่อตอบสนองต่อการนาวิสัยทัศน์ </t>
  </si>
  <si>
    <t xml:space="preserve"> คิดนอกกรอบ นาเสนอความคิดใหม่เพื่อใช้กาหนดนโยบายในงานเพื่อประโยชน์หรือโอกาสของ องค์กรโดยรวมอย่างที่ไม่มีผู้ใดคิดมาก่อน </t>
  </si>
  <si>
    <t xml:space="preserve">ระดับที่ 5 กาหนดนโยบายให้สอดคล้องกับวิสัยทัศน์ของมหาวิทยาลัย </t>
  </si>
  <si>
    <t xml:space="preserve"> กาหนดเป้าหมาย และทิศทางงานในมหาวิทยาลัยด้วยความเข้าใจอย่างแจ่มแจ้งว่า เป้าหมาย เหล่านั้นสอดคล้องเพื่อให้บรรลุวิสัยทัศน์ ภารกิจ มหาวิทยาลัย </t>
  </si>
  <si>
    <t xml:space="preserve"> คาดการณ์ได้ว่าสถานการณ์ในมหาวิทยาลัยอาจได้รับผลกระทบอย่างไรจากกการเปลี่ยนแปลงทุกด้านทั้งภายในและภายนอกประเทศ และเสนอกลยุทธ์เพื่อให้มหาวิทยาลัยได้รับประโยชน์สูงสุดจากการเปลี่ยนแปลง </t>
  </si>
  <si>
    <t xml:space="preserve">ความเข้าใจวิสัยทัศน์และนโยบาย และสามารถนามาประยุกต์ใช้ในการกาหนด กลยุทธ์ของหน่วยงานภายในมหาวิทยาลัยได้ </t>
  </si>
  <si>
    <t xml:space="preserve">ระดับที่ 1 รู้และเข้าใจนโยบายของมหาวิทยาลัย ว่ามีความเกี่ยวโยงกับหน้าที่ความรับผิดชอบของหน่วยงาน </t>
  </si>
  <si>
    <t xml:space="preserve"> เข้าใจนโยบาย ภารกิจ รวมทั้งกลยุทธ์ของมหาวิทยาลัย ว่าสัมพันธ์เชื่อมโยงกับภารกิจของหน่วยงานที่ตนดูแลรับผิดชอบอย่างไร </t>
  </si>
  <si>
    <t xml:space="preserve"> สามารถวิเคราะห์ปัญหา อุปสรรคหรือโอกาสของหน่วยงานได้ </t>
  </si>
  <si>
    <t xml:space="preserve"> สามารถอธิบายความเกี่ยวโยงของนโยบายมหาวิทยาลัย ภารกิจของหน่วยงานได้อย่างถูกต้องเป็นรูปธรรม </t>
  </si>
  <si>
    <t xml:space="preserve">ระดับที่ 2 นาประสบการณ์มาประยุกต์ใช้ในการกาหนดกลยุทธ์ของหน่วยงานได้ </t>
  </si>
  <si>
    <t xml:space="preserve"> ประยุกต์ใช้ประสบการณ์ในการกาหนดกลยุทธ์ของหน่วยงานที่ตนดูแลรับผิดชอบให้สอดคล้องกับกลยุทธ์ของมหาวิทยาลัยและสามารถบรรลุภารกิจที่กาหนดไว้ได้ </t>
  </si>
  <si>
    <t xml:space="preserve"> ใช้ความรู้ความเข้าใจด้านการบริหารมาปรับกลยุทธ์ให้เหมาะสมกับสถานการณ์ที่เปลี่ยนแปลงได้ </t>
  </si>
  <si>
    <t xml:space="preserve"> สามารถกาหนดกลยุทธ์ของหน่วยงานที่สอดคล้องกับกลยุทธ์ของมหาวิทยาลัย </t>
  </si>
  <si>
    <t>ระดับที่ 3 ประยุกต์ทฤษฎีหรือแนวคิดซับซ้อนมาใช้ในการกาหนดกลยุทธ์ในการ ปฏิบัติงานในอนาคต</t>
  </si>
  <si>
    <t xml:space="preserve"> ประยุกต์ทฤษฎีหรือแนวคิดซับซ้อน ในการคิดและพัฒนาเป้าหมายหรือกลยุทธ์ของหน่วยงานที่ตนดูแลรับผิดชอบ </t>
  </si>
  <si>
    <t xml:space="preserve"> คิดโครงการ แผนงานที่ผลสัมฤทธิ์มีประโยชน์ระยะยาว หรือประยุกต์แนวทางปฏิบัติที่ประสบความสาเร็จ (Best Practice) หรือผลการวิจัยต่าง ๆ มากาหนดแผนงานเชิงกลยุทธ์ในหน่วยงานที่ตนดูแลรับผิดชอบ </t>
  </si>
  <si>
    <t xml:space="preserve">ระดับที่ 4 เชื่อมโยงสถานการณ์ในประเทศเพื่อกาหนดกลยุทธ์ในการปฏิบัติงานทั้งในปัจจุบันและอนาคต </t>
  </si>
  <si>
    <t xml:space="preserve"> ประเมินและเชื่อมโยงสถานการณ์ ประเด็น หรือปัญหาทางเศรษฐกิจ สังคม การเมืองภายในประเทศที่ซับซ้อนโดยมองภาพในลักษณะองค์รวมเพื่อใช้ในการกาหนดกลยุทธ์ </t>
  </si>
  <si>
    <t xml:space="preserve"> คิดแผนหรือกลยุทธ์เชิงรุกในการปฏิบัติงานของหน่วยงาน เพื่อตอบสนองโอกาสหรือประเด็นปัญหาที่เกิดขึ้นจากสถานการณ์ของหน่วยงานที่เปลี่ยนแปลงไป </t>
  </si>
  <si>
    <t xml:space="preserve">ระดับที่ 5 ปรับเปลี่ยนทิศทางกลยุทธ์ให้สอดคล้องกับบริบทที่เปลี่ยนแปลง </t>
  </si>
  <si>
    <t xml:space="preserve"> มีการปรับเปลี่ยนแผนกลยุทธ์ให้สอดคล้องกับบริบทที่เปลี่ยนแปลงและมีการประเมินความเสี่ยงอย่างต่อเนื่อง </t>
  </si>
  <si>
    <t> สรรค์สร้างและบูรณาการองค์ความรู้ใหม่มาใช้ในมหาวิทยาลัย โดยพิจารณาจากบริบทของ มหาวิทยาลัยในภาพรวมและปรับให้เหมาะสม ปฏิบัติได้จริง</t>
  </si>
  <si>
    <t xml:space="preserve">ความตั้งใจที่จะส่งเสริมการเรียนรู้หรือการพัฒนาผู้อื่นในระยะยาวจนถึงระดับที่เชื่อมั่นว่าจะสามารถมอบหมายหน้าที่ความรับผิดชอบให้ผู้นั้นมีอิสระที่จะตัดสินใจในการปฏิบัติหน้าที่ของตนได้ </t>
  </si>
  <si>
    <t xml:space="preserve">ระดับที่ 1 สอนงานหรือให้คาแนะนาเกี่ยวกับวิธีปฏิบัติงาน </t>
  </si>
  <si>
    <t xml:space="preserve"> สอนงานด้วยการให้คาแนะนาอย่างละเอียด หรือด้วยการสาธิตวิธีปฏิบัติงาน </t>
  </si>
  <si>
    <t xml:space="preserve"> ชี้แนะแหล่งข้อมูล หรือแหล่งทรัพยากรอื่นๆ เพื่อใช้ในการพัฒนาการปฏิบัติงาน </t>
  </si>
  <si>
    <t xml:space="preserve"> มีการใช้เทคนิคการสอนงานที่ดี </t>
  </si>
  <si>
    <t xml:space="preserve">ระดับที่ 2 ทาให้ผู้ใต้บังคับบัญชารู้สึกว่าตนมีศักยภาพ </t>
  </si>
  <si>
    <t xml:space="preserve"> เข้าใจข้อดีและข้อด้อยของผู้ใต้บังคับบัญชา และสามารถให้คาปรึกษาชี้แนะหนทางเพื่อสนับสนุนส่งเสริมข้อดีให้โดดเด่นและปรับปรุงข้อด้อยให้ลดลง </t>
  </si>
  <si>
    <t> ให้โอกาสผู้ใต้บังคับบัญชาได้แสดงศักยภาพด้านดีของตนเพื่อเสริมสร้างความมั่นใจในการ ปฏิบัติงาน</t>
  </si>
  <si>
    <t xml:space="preserve">ระดับที่ 3 วางแผนเพื่อให้โอกาสผู้ใต้บังคับบัญชาแสดงความสามารถในการทางาน </t>
  </si>
  <si>
    <t xml:space="preserve"> วางแผนในการพัฒนาผู้ใต้บังคับบัญชาทั้งในระยะสั้นและระยะยาว </t>
  </si>
  <si>
    <t xml:space="preserve"> มอบหมายงานที่เหมาะสม ตลอดจนทรัพยากรที่จาเป็น คาชี้แนะและการสนับสนุนต่าง ๆ เพื่อให้งานสาเร็จ รวมทั้งให้โอกาสผู้ใต้บังคับบัญชาที่จะได้รับการฝึกอบรม หรือพัฒนาอย่างสม่าเสมอเพื่อสนับสนุนการเรียนรู้  </t>
  </si>
  <si>
    <t xml:space="preserve"> มอบหมายหน้าที่ความรับผิดชอบในระดับตัดสินใจให้ผู้ใต้บังคับบัญชาเป็นบางเรื่องเพื่อให้มี โอกาสริเริ่มสิ่งใหม่ๆ หรือบริหารจัดการด้วยตนเอง </t>
  </si>
  <si>
    <t xml:space="preserve"> พร้อมจะยอมเสี่ยง โดยยอมให้ผู้อื่นตัดสินใจในบางเรื่อง </t>
  </si>
  <si>
    <t xml:space="preserve">ระดับที่ 4 สามารถช่วยแก้ไขปัญหาที่เป็นอุปสรรคต่อการพัฒนาศักยภาพของผู้ใต้บังคับบัญชา </t>
  </si>
  <si>
    <t xml:space="preserve"> ช่วยปรับเปลี่ยนทัศนคติเดิมที่เป็นปัจจัยขัดขวางการพัฒนาศักยภาพของผู้ใต้บังคับบัญชา </t>
  </si>
  <si>
    <t xml:space="preserve"> มีจิตวิทยาในการเข้าถึงจิตใจและเหตุผลเบื้องหลังพฤติกรรมของแต่ละบุคคล เพื่อนามาสนับสนุนในการล้มล้างความเชื่อ และค่านิยมเชิงลบและพัฒนาศักยภาพในการทางานให้ดีขึ้น </t>
  </si>
  <si>
    <t xml:space="preserve"> เปิดโอกาสให้ผู้ใต้บังคับบัญชาได้ริเริ่มสิ่งใหม่ด้วยตนเองโดยการมอบหมายอานาจตัดสินใจให้ </t>
  </si>
  <si>
    <t xml:space="preserve">ระดับที่ 5 สร้างวัฒนธรรมการทางานที่ให้อานาจและสอนงาน </t>
  </si>
  <si>
    <t xml:space="preserve"> สนับสนุนส่งเสริมวัฒนธรรมการทางานที่ให้อานาจและมีการสอนงานกันเองเพื่อพัฒนาการร่วมกันของบุคลากรภายในองค์กร </t>
  </si>
  <si>
    <t xml:space="preserve"> สร้างบรรยากาศการทางานที่เอื้อต่อวัฒนธรรมการทางาน ตลอดจนจัดหาทรัพยากรและการสนับสนุนต่าง ๆ ที่จาเป็นให้ </t>
  </si>
  <si>
    <t>สมรรถนะประจำสายงาน(Functional Competency)</t>
  </si>
  <si>
    <r>
      <t>การคิดวิเคราะห์ (Analytical Thinking</t>
    </r>
    <r>
      <rPr>
        <sz val="14"/>
        <color indexed="8"/>
        <rFont val="BrowalliaUPC"/>
        <family val="2"/>
      </rPr>
      <t>)</t>
    </r>
  </si>
  <si>
    <t xml:space="preserve">การทาความเข้าใจสถานการณ์ อธิบายประเด็น สถานการณ์ ปัญหาโดยการแยกข้อมูลที่ได้รับออกเป็นประเด็นย่อยๆ หรือการกาหนดกรอบแนวคิด ประเด็นหลัก โดยการเชื่อมต่อความสัมพันธ์ระหว่างส่วนต่างๆ ที่เกี่ยวข้องกัน อย่างเป็นระบบ เพื่อให้ได้ข้อสรุปในการปฏิบัติงานที่มีประสิทธิภาพและประสบผลสาเร็จ </t>
  </si>
  <si>
    <t xml:space="preserve">ระดับที่ 1 มีความเข้าใจสถานการณ์ ประเด็นปัญหา โดยสามารถวิเคราะห์สถานการณ์หรือแตกประเด็นปัญหาออกเป็นส่วนย่อยๆ ได้ </t>
  </si>
  <si>
    <t xml:space="preserve"> รู้ขอบเขต เข้าใจสถานการณ์ ผลที่ต้องการจากข้อมูลที่วิเคราะห์ </t>
  </si>
  <si>
    <t xml:space="preserve"> ระบุประเด็นย่อยๆ ของข้อมูล ปัญหา สถานการณ์ได้ </t>
  </si>
  <si>
    <t>ระดับที่ 2 เข้าใจความสัมพันธ์ขั้นพื้นฐานของปัญหา หรืองานโดยสามารถระบุเหตุและผล ข้อดี ข้อเสียในประเด็นต่างๆ และวางแผนงานตามลาดับความสาคัญ</t>
  </si>
  <si>
    <t xml:space="preserve"> รวบรวมข้อมูลที่เกี่ยวข้องมาประกอบการวิเคราะห์ </t>
  </si>
  <si>
    <t xml:space="preserve"> จัดลาดับความสาคัญ/เร่งด่วน ความเป็นเหตุเป็นผล </t>
  </si>
  <si>
    <t xml:space="preserve"> แยกข้อดีข้อเสียของประเด็นต่างๆ ได้ </t>
  </si>
  <si>
    <t xml:space="preserve"> วิเคราะห์ความสัมพันธ์และแตกประเด็นปัญหาของงาน ที่ตนเองรับผิดชอบ กับงานที่เกี่ยวข้องในกระบวนงานเดียวกันได้ </t>
  </si>
  <si>
    <t xml:space="preserve">ระดับที่ 3 เข้าใจความสัมพันธ์ที่ซับซ้อนของปัญหาหรืองาน </t>
  </si>
  <si>
    <t xml:space="preserve"> เชื่อมโยงเหตุปัจจัยที่ซับซ้อนของเหตุการณ์ ประเด็นต่างๆ ได้ </t>
  </si>
  <si>
    <t xml:space="preserve"> กาหนดขั้นตอนการดาเนินงานออกเป็นรายละเอียดที่มีผู้เกี่ยวข้องหลายฝ่ายได้อย่าง มีประสิทธิภาพ </t>
  </si>
  <si>
    <t xml:space="preserve"> วางแผนขั้นตอนการดาเนินงานที่มีผู้เกี่ยวข้องหลายฝ่ายได้อย่างมีประสิทธิภาพ </t>
  </si>
  <si>
    <t xml:space="preserve">ระดับที่ 4 สามารถวิเคราะห์ วางแผน และคาดการณ์ปัญหา พร้อมวางแนวทางป้องกันปัญหาล่วงหน้าในงานที่ซับซ้อนได้ </t>
  </si>
  <si>
    <t xml:space="preserve"> แยกประเด็นปัญหาที่เชื่อมโยงซับซ้อนออกเป็นส่วนๆ </t>
  </si>
  <si>
    <t xml:space="preserve"> หาแนวทางเลือกที่ดีที่สุดเพื่อการแก้ปัญหา </t>
  </si>
  <si>
    <t xml:space="preserve"> กาหนดขั้นตอนการดาเนินงานต่างๆ ของงานที่ซับซ้อน และหาทางป้องกันปัญหาไว้ล่วงหน้า </t>
  </si>
  <si>
    <t xml:space="preserve">ระดับที่ 5 แสามารถใช้เทคนิคและรูปแบบต่างๆ ในการกาหนดแผนงานการทางาน และหาทางเลือกสาหรับป้องกัน หรือแก้ไขปัญหาที่เกิดขึ้น </t>
  </si>
  <si>
    <t xml:space="preserve"> ใช้วิธีวิเคราะห์ด้วยเทคนิคที่เหมาะสม เป็นระบบ หลากหลายรูปแบบ ในการแยกประเด็น ปัญหาที่สลับซับซ้อนออกเป็นส่วนๆ เพื่อหาทางเลือกในการแก้ปัญหาและการพิจารณาข้อดี ข้อเสียของทางเลือกแต่ละทาง </t>
  </si>
  <si>
    <t>การสืบหาข้อมูล (Information Seeking)</t>
  </si>
  <si>
    <t xml:space="preserve">ความสนใจใฝ่รู้เชิงลึกที่จะแสวงหาข้อมูลเกี่ยวกับสถานการณ์ ภูมิหลัง ประวัติความเป็นมา ประเด็นปัญหา หรือเรื่องราวต่างๆ ที่เกี่ยวข้องหรือจะเป็นประโยชน์ในการทางาน </t>
  </si>
  <si>
    <t xml:space="preserve">ระดับที่ 1 สามารถใช้ข้อมูลที่มีอยู่หรือหาข้อมูลเพื่อนามาใช้ในการปฏิบัติงาน </t>
  </si>
  <si>
    <t xml:space="preserve"> สามารถนาข้อมูลที่มีอยู่มาปรับปรุง แก้ไขเพื่อใช้ในการปฏิบัติงานได้ </t>
  </si>
  <si>
    <t xml:space="preserve"> หาข้อมูลโดยซักถามผู้ที่เกี่ยวข้องโดยตรง </t>
  </si>
  <si>
    <t xml:space="preserve"> สามารถจัดเก็บข้อมูลที่ใช้ในการปฏิบัติงานอย่างเป็นระบบได้ </t>
  </si>
  <si>
    <t xml:space="preserve">ระดับที่ 2 สืบเสาะค้นหาข้อมูลจากแหล่งข้อมูลที่น่าเชื่อถือและอ้างอิงได้มาใช้ในการปฏิบัติงาน </t>
  </si>
  <si>
    <t xml:space="preserve"> สามารถพิจารณาและตัดสินใจเลือกใช้ข้อมูลจากแหล่งที่มาของข้อมูลที่น่าเชื่อถือ </t>
  </si>
  <si>
    <t xml:space="preserve"> สามารถใช้วิธีการที่เหมาะสมในการค้นหาข้อมูลในการปฏิบัติงานได้ </t>
  </si>
  <si>
    <t xml:space="preserve"> สืบเสาะปัญหาหรือสถานการณ์ จากผู้ที่ใกล้ชิดกับเหตุการณ์ หรือประเด็นปัญหามากที่สุด </t>
  </si>
  <si>
    <t xml:space="preserve"> ใช้เทคนิคใหม่ๆ ในการสืบเสาะค้นหาข้อมูลในการปฏิบัติงานได้ </t>
  </si>
  <si>
    <t xml:space="preserve">ระดับที่ 3 แสวงหาข้อมูลเชิงลึกจากผู้รู้ที่ไม่ได้มีหน้าที่เกี่ยวข้องโดยตรงในเรื่องนั้น </t>
  </si>
  <si>
    <t xml:space="preserve"> ตั้งใจสืบเสาะ แสวงหาแหล่งของข้อมูลเชิงลึกจากบริบท สถานการณ์ที่เกี่ยวข้องกับการทางานและผู้รู้ที่ไม่ได้มีหน้าที่เกี่ยวข้องโดยตรงเรื่องนั้น </t>
  </si>
  <si>
    <t xml:space="preserve"> มีจิตวิทยาในการสื่อสารและสร้างความสัมพันธ์กับแหล่งข้อมูลเชิงลึกเพื่อให้ได้มาซึ่ง ข้อมูลที่มีประโยชน์ให้ได้มากที่สุด </t>
  </si>
  <si>
    <t xml:space="preserve"> ซักถามคาถามอย่างเจาะลึกต่อเนื่อง เพื่อหาต้นตอของสถานการณ์ ปัญหา หรือโอกาสที่อาจจะเกิดขึ้น </t>
  </si>
  <si>
    <t xml:space="preserve">ระดับที่ 4 สืบค้นข้อมูลจากแหล่งข้อมูลที่น่าเชื่อถืออย่างเป็นระบบ ด้วยวิธีการต่างๆ รวมทั้งการใช้เทคโนโลยีสารสนเทศ หรือการวิจัย </t>
  </si>
  <si>
    <t xml:space="preserve"> ดาเนินการเก็บข้อมูลที่จาป็นอย่างเป็นระบบ </t>
  </si>
  <si>
    <t xml:space="preserve"> สืบค้น/วิจัยข้อมูลจากแหล่งข้อมูลต่างๆ </t>
  </si>
  <si>
    <t> ใช้เทคโนโลยี การสื่อสารที่เหมาะสมเพื่อให้ได้ข้อมูลเชิงลึกที่น่าเชื่อถืออย่างเป็นระบบ ในการทางานได้</t>
  </si>
  <si>
    <t xml:space="preserve">ระดับที่ 5 วางระบบการสืบค้นเพื่อหาข้อมูลให้เป็นปัจจุบันที่ทันเหตุการณ์อย่างต่อเนื่อง </t>
  </si>
  <si>
    <t xml:space="preserve"> วางระบบการสืบค้น เพื่อให้มีข้อมูลที่ทันเหตุการณ์ป้อนเข้ามาอย่างต่อเนื่อง </t>
  </si>
  <si>
    <t xml:space="preserve"> กาหนดมอบหมายให้ผู้อื่นทาการสืบค้นข้อมูลให้อย่างสม่าเสมอ </t>
  </si>
  <si>
    <t>ศิลปะการสื่อสารจูงใจ (Communication &amp; Influencing)</t>
  </si>
  <si>
    <t xml:space="preserve">ความตั้งใจที่จะสื่อสารด้วยการเขียน พูด โดยใช้สื่อต่าง ๆ ตลอดจนการชักจูง หว่านล้อม โน้มน้าว บุคคลอื่น และทาให้ผู้อื่นประทับใจ หรือเพื่อให้สนับสนุนความคิดของตน </t>
  </si>
  <si>
    <t xml:space="preserve">ระดับที่ 1 นาเสนออย่างตรงไปตรงมา </t>
  </si>
  <si>
    <t xml:space="preserve"> นาเสนอความเห็นอย่างตรงไปตรงมาในการอภิปรายหรือนาเสนอผลงาน อาจยกเหตุผลความเป็นมา ข้อมูล หรือความสนใจของผู้ฟังมาประกอบการพูดหรือการนาเสนอ หรือยกตัวอย่างอย่างเป็นรูปธรรมมาประกอบการนาเสนอ เช่น ภาพประกอบหรือการสาธิต เป็นต้น แต่ยังมิได้ปรับรูปแบบการนาเสนอตามความสนใจและระดับของผู้ฟัง </t>
  </si>
  <si>
    <t xml:space="preserve">ระดับที่ 2 ใช้ความพยายามขั้นต้นในการจูงใจ </t>
  </si>
  <si>
    <t xml:space="preserve"> มีการเตรียมข้อมูลที่ใช้ในการนาเสนออย่างรอบคอบละเอียดถี่ถ้วนอาจมีการนาเสนอประเด็น ข้อคิดเห็นที่แตกต่างกันในการบรรยายหรืออภิปราย เพื่อความกระจ่างหรือเพื่อจูงใจให้ เห็นด้วย </t>
  </si>
  <si>
    <t xml:space="preserve">ระดับที่ 3 ใช้ศิลปะการจูงใจ </t>
  </si>
  <si>
    <t xml:space="preserve"> ปรับรูปแบบการนาเสนอและอภิปรายให้เหมาะสมกับความสนใจและระดับของผู้ฟัง คาดการณ์ถึงผลกระทบของสิ่งที่จะนาเสนอและภาพพจน์ของผู้พูดที่จะมีต่อผู้ฟัง </t>
  </si>
  <si>
    <t xml:space="preserve"> ใช้รูปแบบการนาเสนอที่วางแผนไว้ล่วงหน้ามาอย่างดี ตื่นตาตื่นใจและแปลกใหม่ เพื่อให้เกิดผลกระทบต่อผู้ฟังในทิศทางที่ตนต้องการ อีกทั้งคาดการณ์และเตรียมการไว้ล่วงหน้าเพื่อรับมือกับปฏิกิริยาของผู้ฟังที่อาจเกิดขึ้น </t>
  </si>
  <si>
    <t>ระดับที่ 4 ใช้อิทธิพลทางอ้อมในการจูงใจ</t>
  </si>
  <si>
    <t> โน้มน้าวใจผู้ฟังทางอ้อมด้วยการชักจูงเป็นลูกโซ่ เช่น ให้ คุณ A แสดงให้คุณ B เห็น เพื่อให้คุณ B ไปบอกคุณ C ต่อไปอีกทอดหนึ่ง เป็นต้น มีการปรับแต่ละขั้นตอนในการสื่อสาร นาเสนอ และจูงใจให้เหมาะสมกับผู้ฟังแต่ละกลุ่มหรือแต่ละราย</t>
  </si>
  <si>
    <t xml:space="preserve"> ให้ผู้เชี่ยวชาญในด้านนั้น ๆ มาช่วยให้การสื่อสารจูงใจได้ผลดียิ่งขึ้น </t>
  </si>
  <si>
    <t>ระดับที่ 5 ใช้กลยุทธ์ซับซ้อนในการจูงใจ</t>
  </si>
  <si>
    <t xml:space="preserve"> สร้างกลุ่มผู้สนับสนุนอยู่เบื้องหลังหรือสร้างกลุ่มแนวร่วม เพื่อช่วยสนับสนุนผลักดันแนวคิด แผนงาน โครงการ ฯลฯ ให้สัมฤทธิ์ผล </t>
  </si>
  <si>
    <t xml:space="preserve"> ใช้ความเข้าใจอย่างถ่องแท้เกี่ยวกับปฏิกิริยาของผู้รับสาร พฤติกรรมกลุ่ม จิตวิทยามวลชน ฯ ให้เป็นประโยชน์ในการสื่อสารจูงใจ </t>
  </si>
  <si>
    <t>การบริการที่ดี (Service Mind)</t>
  </si>
  <si>
    <t xml:space="preserve">ความตั้งใจ และความพยายามของบุคลากร ในการให้บริการเพื่อตอบสนองความต้องการของพนักงานมหาวิทยาลัย ข้าราชการ ข้าราชการบานาญ ลูกจ้าง ประชาชนทั่วไป </t>
  </si>
  <si>
    <t xml:space="preserve">ระดับที่ 1 ให้บริการที่เป็นมิตร </t>
  </si>
  <si>
    <t xml:space="preserve"> ให้บริการที่เป็นมิตร สุภาพ เต็มใจต้อนรับ </t>
  </si>
  <si>
    <t xml:space="preserve"> ให้คาแนะนา ให้ข้อมูลข่าวสารที่ถูกต้อง </t>
  </si>
  <si>
    <t xml:space="preserve">ระดับที่ 2 ช่วยแก้ปัญหาหรือหาแนวทางแก้ไขปัญหาที่เกิดขึ้น </t>
  </si>
  <si>
    <t xml:space="preserve"> ช่วยแก้ปัญหาหรือหาแนวทางแก้ไขปัญหาที่เกิดขึ้นแก่ผู้รับบริการอย่างรวดเร็วไม่บ่ายเบี่ยง ไม่แก้ตัว หรือปัดภาระ </t>
  </si>
  <si>
    <t xml:space="preserve"> คอยติดตามเรื่องและแจ้งให้ผู้รับบริการทราบความคืบหน้าในการดาเนินเรื่องหรือขั้นตอนเรื่องต่างๆที่ให้บริการ </t>
  </si>
  <si>
    <t xml:space="preserve">ระดับที่ 3 ให้ข้อมูลข่าวสารที่เกี่ยวข้องกับงานที่กาลังให้บริการ </t>
  </si>
  <si>
    <t xml:space="preserve"> ช่วยประสานงานภายในหน่วยงาน และกับหน่วยงานที่เกี่ยวข้อง เพื่อแก้ไขปัญหาหรือหาแนวทางแก้ไขปัญหาที่เกิดขึ้นแก่ผู้รับบริการอย่างรวดเร็ว เต็มใจ </t>
  </si>
  <si>
    <t xml:space="preserve"> คอยดูแลให้ผู้รับบริการได้รับความพึงพอใจ และเมื่อพบข้อบกพร่องให้นาไปปรับปรุงบริการให้ดีขึ้น </t>
  </si>
  <si>
    <t xml:space="preserve">ระดับที่ 4 ให้คาแนะนาที่มีประโยชน์ </t>
  </si>
  <si>
    <t xml:space="preserve"> ให้คาแนะนาที่เป็นประโยชน์แก่ผู้รับบริการ เพื่อตอบสนองความจาเป็นหรือความต้องการที่แท้จริงแก่ผู้รับบริการ </t>
  </si>
  <si>
    <t xml:space="preserve"> กาหนดกรอบแนวทางการให้บริการเพื่อให้ผู้รับบริการได้รับตามสิ่งที่ผู้รับบริการต้องการ และสามารถช่วยผู้รับบริการแก้ปัญหาต่างๆ </t>
  </si>
  <si>
    <t xml:space="preserve">ระดับที่ 5 เข้าใจความจาเป็น หรือความต้องการที่แท้จริงของผู้รับบริการ </t>
  </si>
  <si>
    <t xml:space="preserve"> พยายามทาความเข้าใจเกี่ยวกับความจาเป็น หรือความต้องการที่แท้จริงของผู้รับบริการ </t>
  </si>
  <si>
    <t xml:space="preserve"> คานึงถึงผลประโยชน์ของผู้รับบริการในระยะยาว และพร้อมที่จะเปลี่ยนวิธีหรือขั้นตอนการให้บริการ เพื่อประโยชน์สูงสุดของผู้รับบริการ </t>
  </si>
  <si>
    <t>สั่งสมความเชี่ยวชาญ(Expertise)</t>
  </si>
  <si>
    <t>สนใจใฝ่รู้ สั่งสมความรู้ ความสามารถของตนในการปฏิบัติงาน ด้วยการศึกษา ค้นคว้า และพัฒนาตนเองอย่างต่อเนื่องจนสามารถประยุกต์ใช้ความรู้เชิงวิชาการและเทคโนโลยีต่างๆ เข้ากับการปฏิบัติงานให้เกิดผลสัมฤทธิ์</t>
  </si>
  <si>
    <t>ระดับที่ 1 ศึกษาหาความรู้ สนใจเทคโนโลยี และองค์ความรู้ใหม่ๆในสาขาอาชีพของตน</t>
  </si>
  <si>
    <t> ติดตามเทคโนโลยี องค์ความรู้ใหม่ๆจากแหล่งต่างๆที่จะเป็นประโยชน์ต่อการปฏิบัติงาน</t>
  </si>
  <si>
    <t> ทดลองวิธีการทางานแบบใหม่ เพื่อพัฒนาประสิทธิภาพ และความรู้ ความสามารถของตนในการปฏิบัติงานให้ดียิ่งขึ้น</t>
  </si>
  <si>
    <t>ระดับที่ 2 ความรอบรู้ในเทคโนโลยี</t>
  </si>
  <si>
    <t> รอบรู้เท่าทันเทคโนโลยี หรือองค์ความรู้ใหม่ๆ แนวโน้มวิทยาการที่ทันสมัยในสาขาของตน และที่เกี่ยวข้องหรืออาจมีผลกระทบต่อการปฏิบัติงานของตน</t>
  </si>
  <si>
    <t>ระดับที่ 3สามารถนาวิชาการ องค์ความรู้ หรือเทคโนโลยีใหม่ๆ มาประยุกต์ใช้ในการปฏิบัติงานได้</t>
  </si>
  <si>
    <t> ประยุกต์ใช้หลักวิชาการที่ต้องใช้ความชานาญในการปฏิบัติงาน</t>
  </si>
  <si>
    <t> นาวิชาการความรู้ หรือเทคโนโลยีใหม่ๆมาประยุกต์ใช้ในการพัฒนาแนวทางปฏิบัติ ระบบงาน กลวิธีการให้บริการที่ต้องมีความชานาญให้มีคุณภาพอยู่เสมอ</t>
  </si>
  <si>
    <t> สั่งสมความรู้ วิทยาการใหม่ๆ นามาแลกเปลี่ยนเรียนรู้กับผู้มีความรู้อยู่เสมอ</t>
  </si>
  <si>
    <t>ระดับที่ 4มีความรอบรู้ความเชี่ยวชาญในการปฏิบัติงานและสามารถนาความรู้ไปบูรณาการและปรับใช้ได้</t>
  </si>
  <si>
    <t> มีความรู้ เชี่ยวชาญในงานหลายด้าน และสามารถนาความรู้ไปปรับใช้กับการปฏิบัติงานได้อย่างครอบคลุม</t>
  </si>
  <si>
    <t> นาความรู้เชิงบูรณาการของตนไปใช้ในการสร้างวิสัยทัศน์ เพื่อการปฏิบัติงานในอนาคต</t>
  </si>
  <si>
    <t> หาความรู้ที่เกี่ยวข้องกับงานทั้งเชิงลึก และเชิงกว้างอย่างต่อเนื่อง</t>
  </si>
  <si>
    <t>ระดับที่ 5สนับสนุนความเชี่ยวชาญในหน่วยงาน</t>
  </si>
  <si>
    <t> สนับสนุนให้เกิดบรรยากาศการเรียนรู้ และการพัฒนาความเชี่ยวชาญในหน่วยงาน มหาวิทยาลัย</t>
  </si>
  <si>
    <t> ให้การสนับสนุน ชมเชย เมื่อมีผู้แสดงออกถึงความตั้งใจที่จะพัฒนาความเชี่ยวชาญในงาน</t>
  </si>
  <si>
    <t> มีวิสัยทัศน์ในการเล็งเห็นประโยชน์ของเทคโนโลยี องค์ความรู้ หรือวิทยาการใหม่ๆต่อการปฏิบัติงานในอนาคต และสนับสนุน ส่งเสริมให้มีการนามาประยุกต์ใช้อย่างต่อเนื่อง</t>
  </si>
  <si>
    <t>การมุ่งผลสัมฤทธิ์ (Achievement Motivation)</t>
  </si>
  <si>
    <t xml:space="preserve">ความมุ่งมั่นจะปฏิบัติหน้าที่ราชการให้ดีหรือให้เกินมาตรฐานที่มีอยู่โดยมาตรฐานนี้อาจเป็นผลการปฏิบัติงานที่ผ่านมาของตนเอง หรือเกณฑ์วัดผลสัมฤทธิ์ที่ส่วน ราชการกำหนดขึ้น อีกทั้งยังหมายรวมถึงการสร้างสรรค์พัฒนาผลงานหรือกระบวนการปฏิบัติงานตามเป้าหมายที่ยากและท้าทายชนิดที่อาจไม่เคยมีผู้ใดสามารถ กระทำได้มาก่อน </t>
  </si>
  <si>
    <t xml:space="preserve">ระดับที่ 1 : </t>
  </si>
  <si>
    <t xml:space="preserve">ระดับที่ 2 : </t>
  </si>
  <si>
    <t xml:space="preserve">ระดับที่ 3 : </t>
  </si>
  <si>
    <t xml:space="preserve">ระดับที่ 4 : </t>
  </si>
  <si>
    <t xml:space="preserve">ระดับที่ 5 : </t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</si>
  <si>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แสดงความพยายามในการปฏิบัติหน้าที่ราชการให้ดี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</si>
  <si>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พยายามทำงานในหน้าที่ให้ถูกต้อง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</si>
  <si>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พยายามปฏิบัติงานให้แล้วเสร็จตามกำหนดเวลา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</si>
  <si>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มานะอดทน ขยันหมั่นเพียรในการทำงาน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</si>
  <si>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แสดงออกว่าต้องการทำงานให้ได้ดีขึ้น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</si>
  <si>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แสดงความเห็นในเชิงปรับปรุงพัฒนาเมื่อเห็นความสูญเปล่า หรือหย่อนประสิทธิภาพในงาน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</si>
  <si>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สามารถทำงานได้ผลงานตามเป้าหมายที่วางไว้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</si>
  <si>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กำหนดมาตรฐาน หรือเป้าหมายในการทำงานเพื่อให้ได้ผลงานที่ดี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</si>
  <si>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ติดตาม และประเมินผลงานของตน โดยเทียบเคียงกับเกณฑ์มาตรฐาน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</si>
  <si>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ทำงานได้ตามเป้าหมายที่ผู้บังคับบัญชากำหนด หรือเป้าหมายของหน่วยงานที่รับผิดชอบ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</si>
  <si>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มีความละเอียดรอบคอบ เอาใจใส่ ตรวจตราความถูกต้อง เพื่อให้ได้งานที่มีคุณภาพ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</si>
  <si>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สามารถปรับปรุงวิธีการทำงานเพื่อให้ได้ผลงานที่มีประสิทธิภาพมากยิ่งขึ้น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</si>
  <si>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ปรับปรุงวิธีการที่ทำให้ทำงานได้ดีขึ้น เร็วขึ้น มีคุณภาพดีขึ้น มีประสิทธิภาพมากขึ้น หรือทำให้ผู้รับบริการพึงพอใจมากขึ้น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</si>
  <si>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เสนอหรือทดลองวิธีการทำงานแบบใหม่ที่คาดว่าจะทำให้งานมีประสิทธิภาพมากขึ้น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</si>
  <si>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สามารถกำหนดเป้าหมาย รวมทั้งพัฒนางานเพื่อให้ได้ผลงานที่โดดเด่น หรือแตกต่างอย่างมีนัยสำคัญ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</si>
  <si>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กำหนดเป้าหมายที่ท้าทาย และเป็นไปได้ยาก เพื่อให้ได้ผลงานที่ดีกว่าเดิมอย่างเห็นได้ชัด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</si>
  <si>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พัฒนาระบบ ขั้นตอน วิธีการทำงาน เพื่อให้ได้ผลงานที่โดดเด่น หรือแตกต่างไม่เคยมีผู้ใดทำได้มาก่อน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</si>
  <si>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กล้าตัดสินใจ แม้ว่าการตัดสินใจนั้นจะมีความเสี่ยง เพื่อให้บรรลุเป้าหมายของหน่วยงาน หรือส่วนราชการ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</si>
  <si>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ตัดสินใจได้ โดยมีการคำนวณผลได้ผลเสียอย่างชัดเจน และดำเนินการ เพื่อให้ภาครัฐและประชาชนได้ประโยชน์สูงสุด </t>
    </r>
  </si>
  <si>
    <r>
      <t>ð</t>
    </r>
    <r>
      <rPr>
        <sz val="7"/>
        <color indexed="8"/>
        <rFont val="Times New Roman"/>
        <family val="1"/>
      </rPr>
      <t xml:space="preserve">      </t>
    </r>
    <r>
      <rPr>
        <sz val="15"/>
        <color indexed="8"/>
        <rFont val="TH SarabunPSK"/>
        <family val="2"/>
      </rPr>
      <t xml:space="preserve">บริหารจัดการและทุ่มเทเวลา ตลอดจนทรัพยากร เพื่อให้ได้ประโยชน์สูงสุดต่อภารกิจของหน่วยงานตามที่วางแผนไว้ </t>
    </r>
  </si>
  <si>
    <t>คะแนนตามเกณฑ์สมรรถนะ</t>
  </si>
  <si>
    <r>
      <t xml:space="preserve">จำนวนสมรรถนะหลัก/ประจำกลุ่มงาน/ทางการบริหาร ที่มีระดับสมรรถนะ </t>
    </r>
    <r>
      <rPr>
        <b/>
        <sz val="12"/>
        <rFont val="Browallia New"/>
        <family val="2"/>
      </rPr>
      <t>สูงกว่าหรือเท่ากับ</t>
    </r>
    <r>
      <rPr>
        <sz val="12"/>
        <rFont val="Browallia New"/>
        <family val="2"/>
      </rPr>
      <t xml:space="preserve"> ระดับสมรรถนะที่คาดหวัง</t>
    </r>
  </si>
  <si>
    <r>
      <t xml:space="preserve">จำนวนสมรรถนะหลัก/ประจำกลุ่มงาน/ทางการบริหาร ที่มีระดับสมรรถนะ </t>
    </r>
    <r>
      <rPr>
        <b/>
        <sz val="12"/>
        <rFont val="Browallia New"/>
        <family val="2"/>
      </rPr>
      <t>ต่ำกว่า</t>
    </r>
    <r>
      <rPr>
        <sz val="12"/>
        <rFont val="Browallia New"/>
        <family val="2"/>
      </rPr>
      <t xml:space="preserve"> ระดับสมรรถนะที่คาดหวัง </t>
    </r>
    <r>
      <rPr>
        <b/>
        <sz val="12"/>
        <rFont val="Browallia New"/>
        <family val="2"/>
      </rPr>
      <t>1 ระดับ</t>
    </r>
  </si>
  <si>
    <r>
      <t xml:space="preserve">จำนวนสมรรถนะหลัก/ประจำกลุ่มงาน/ทางการบริหาร ที่มีระดับสมรรถนะ </t>
    </r>
    <r>
      <rPr>
        <b/>
        <sz val="12"/>
        <rFont val="Browallia New"/>
        <family val="2"/>
      </rPr>
      <t>ต่ำกว่า</t>
    </r>
    <r>
      <rPr>
        <sz val="12"/>
        <rFont val="Browallia New"/>
        <family val="2"/>
      </rPr>
      <t xml:space="preserve"> ระดับสมรรถนะที่คาดหวัง 2</t>
    </r>
    <r>
      <rPr>
        <b/>
        <sz val="12"/>
        <rFont val="Browallia New"/>
        <family val="2"/>
      </rPr>
      <t xml:space="preserve"> ระดับ</t>
    </r>
  </si>
  <si>
    <r>
      <t xml:space="preserve">จำนวนสมรรถนะหลัก/ประจำกลุ่มงาน/ทางการบริหาร ที่มีระดับสมรรถนะ </t>
    </r>
    <r>
      <rPr>
        <b/>
        <sz val="12"/>
        <rFont val="Browallia New"/>
        <family val="2"/>
      </rPr>
      <t>ต่ำกว่า</t>
    </r>
    <r>
      <rPr>
        <sz val="12"/>
        <rFont val="Browallia New"/>
        <family val="2"/>
      </rPr>
      <t xml:space="preserve"> ระดับสมรรถนะที่คาดหวัง 3</t>
    </r>
    <r>
      <rPr>
        <b/>
        <sz val="12"/>
        <rFont val="Browallia New"/>
        <family val="2"/>
      </rPr>
      <t xml:space="preserve"> ระดับ</t>
    </r>
  </si>
  <si>
    <t>แบบสรุปการประเมินผลการปฏิบัติงาน</t>
  </si>
  <si>
    <t>หัวหน้างานผู้ประเมิน</t>
  </si>
  <si>
    <t>5. การประเมินความสำเร็จในการปฏิบัติงานโดยรวม (หัวหน้างานประเมิน)</t>
  </si>
  <si>
    <t>การประเมินผลการปฏิบัติงาน</t>
  </si>
  <si>
    <t>คณะศึกษาศาสตร์ มหาวิทยาลัยศรีนครินทรวิโรฒ</t>
  </si>
  <si>
    <t>1. แบบรายงานผลสัมฤทธิ์ของงาน : รายงานข้อมูลตนเอง</t>
  </si>
  <si>
    <t>2. แบบรายงานพฤติกรรมการปฏิบัติงาน : ประเมินโดยหัวหน้างาน</t>
  </si>
  <si>
    <t>3. แบบสรุปผลรายงานผลสัมฤทธิ์และพฤติกรรมการปฏิบัติงาน</t>
  </si>
  <si>
    <t>1. การสอนและพัฒนานิสิต  (คำนวณอัตโนมัติจากการรายงานตนเอง)</t>
  </si>
  <si>
    <t>2. การวิจัยและบริการวิชาการ (คำนวณอัตโนมัติจากการรายงานตนเอง)</t>
  </si>
  <si>
    <t>3. การทำนุบำรุงศิลปวัฒนธรรม (คำนวณอัตโนมัติจากการรายงานตนเอง)</t>
  </si>
  <si>
    <t>4. การบริหารงานโครงการ/กิจกรรมที่หน่วยงานมอบหมาย (คำนวณอัตโนมัติจากการรายงานตนเอง)</t>
  </si>
  <si>
    <t>5. การประเมินความสำเร็จในการปฏิบัติงานโดยรวม (ประเมินโดยหัวหน้างาน)</t>
  </si>
  <si>
    <t xml:space="preserve">              การกรอกผลการประเมิน โดยกรอกค่าคะแนนการประเมินในองค์ประกอบด้านผลสัมฤทธิ์ของงาน องค์ประกอบด้านพฤติกรรมการปฏิบัติราชการ และน้ำหนักของทั้งสององค์ประกอบ ในแบบสรุปส่วนที่ 2 นี้ยังใช้สำหรับคำนวณคะแนนผลการปฏิบัติราชการรวมด้วย       </t>
  </si>
  <si>
    <t xml:space="preserve">              - สำหรับคะแนนองค์ประกอบด้านผลสัมฤทธิ์ของงาน ให้นำมาจากแบบประเมินผลสัมฤทธิ์ของงานโดยให้แนบท้ายแบบสรุปฉบับนี้</t>
  </si>
  <si>
    <t xml:space="preserve">              - สำหรับคะแนนองค์ประกอบด้านพฤติกรรมการปฏิบัติราชการให้นำมาจากแบบประเมินสมรรถนะโดยให้แนบท้ายแบบสรุปฉบับนี้</t>
  </si>
  <si>
    <t>ข้อควรระวังในการบันทึกภาระงาน</t>
  </si>
  <si>
    <t>1.      ข้อมูลผู้กรอกและสรุปภาระงาน</t>
  </si>
  <si>
    <t>2.      ภารงานงานสอนโดยตรงในเวลา</t>
  </si>
  <si>
    <t>3.      ภาระงานสอนโดยตรงนอกเวลา</t>
  </si>
  <si>
    <t>4.      ภาระงานสอนอื่น ๆ</t>
  </si>
  <si>
    <t>5.      ภารวานปริญญานิพนธ์ การพัฒฯนิสิคและอื่น ๆ</t>
  </si>
  <si>
    <t>6.      ภาระงานวิจัย</t>
  </si>
  <si>
    <t>7.      ภาระงานบริการวิชาการ</t>
  </si>
  <si>
    <t>8.      ภาระงานทำนุบำรุงศิลปะวัฒนธรรม</t>
  </si>
  <si>
    <t>9.      ภาระงานบริหาร</t>
  </si>
  <si>
    <t>1.      แบบประเมินสมรรถนะ</t>
  </si>
  <si>
    <t>1.      การประเมินผลสัมฤทธิ์ของงาน แสดงรายละเอียด ดังนี้</t>
  </si>
  <si>
    <t>2.      การประเมินพฤติกรรมการปฏิบัติราชการหรือสมรรถนะ คำนวณอัตโนมัติจากการประเมินสมรรถนะโดยหัวหน้างาน ทั้งนี้ระดับสมรรถนะที่คาดหวังมีความแตกต่างกันตามตำแหน่งทางวิชาการและตำแหน่งทางการบริหาร คือ 1) ระดับสมรรถนะ 3 ได้แก่ อาจารย์ ผู้ช่วยศาสตราจารย์ 2) ระดับสมรรถนะ 4 ได้แก่ รองศาสตราจารย์ หัวหน้าภาควิชา หัวหน้าศูนย์ รองคณบดี ผู้ช่วยคณบดี 3) สมรรถนะ 5 คณบดี  รายละเอียดสมรรถนะ แสดงรายละเอียดดังนี้</t>
  </si>
  <si>
    <t>4. แบบสรุปผลการประเมินการปฏิบัติงาน สรุปรายงานผล โดยมีรายละเอียดดังนี้</t>
  </si>
  <si>
    <t xml:space="preserve">ส่วนที่ 2 การสรุปผลการประเมิน </t>
  </si>
  <si>
    <t xml:space="preserve">ส่วนที่ 3 แผนพัฒนาการปฏิบัติราชการรายบุคคล  </t>
  </si>
  <si>
    <t xml:space="preserve"> ส่วนที่ 4 การรับทราบผลการประเมิน  </t>
  </si>
  <si>
    <t xml:space="preserve">ส่วนที่ 5 ความเห็นของผู้บังคับบัญชาเหนือขึ้นไป  </t>
  </si>
  <si>
    <t>1.      แบบบันทึกภาระงานเป็นไฟล์ EXCEL ซึ่งสามารถบันทึกข้อมูลตามแบบฟอร์มที่จัดเตรียมไว้ และมีการจัดทำสูตรสมการเพื่อการคำนวณและรายงานผลการบันทึกข้อมูลโดยอัตโนมัติ จึงต้องระวังในการแก้ไขข้อมูลในส่วนของการคำนวณ</t>
  </si>
  <si>
    <t>2.      ภาระงานแต่ละด้าน มีรายการให้เลือกบันทึก ควรศึกษาข้อมูลให้ครบเพื่อจะได้บันทึกข้อมูลได้ตรงกับความเป็นจริงมากที่สุด</t>
  </si>
  <si>
    <t>3.      การบันทึกภาระงานในแต่ละรายการ จะมีรายการแนะนำว่าปรากฏขึ้นก่อนภาระงาน เช่น บันทึกข้อมูลหน่วยกิต จำนวนนิสิต จำนวนโครงการ จำนวนชั่วโมง จำนวนเงิน จึงควรตรวจสอบรายการแนะนำให้เรียบร้อยก่อนการบันทึก</t>
  </si>
  <si>
    <t>4.      การบันทึกข้อมูลในงานแต่ละด้าน ให้พิจารณาว่าเป็นภาระงานด้านใด หรือเกี่ยวข้องกับภาระกิจใดเป็นสำคัญ จึงให้บันทึกภาระงานนั้นเพียงจุดเดียว ไม่ควรบันทึกภาระงานซ้ำซ้อนกันในหลายจุด</t>
  </si>
  <si>
    <t>5.      ควรตรวจสอบผลการบักทึกข้อมูลตนเองทุกครั้งว่าไม่มีความผิดปกติของการบักทึก แผ่นกรอกภาระงาน ผลการประเมิน หากมีความผิดปกติให้ตรวจสอบหรือสอบถามหัวหน้างานในชั้นต้น</t>
  </si>
  <si>
    <t>6.      การบันทึกภาระงาน ให้ระบุชื่อหัวหน้างานในชั้นต้น และส่งไฟล์ภาระงานที่บันทึกแล้วส่งให้หัวหน้างานประเมินสมรรถนะ ก่อนสั่งพิมพ์รายงานส่งคณะต่อไป</t>
  </si>
  <si>
    <t>ตำแหน่งประเมิน</t>
  </si>
  <si>
    <t>มี</t>
  </si>
  <si>
    <t>ความเป็นผู้นา (Leadership) *(เฉพาะผู้บริหาร)</t>
  </si>
  <si>
    <t>การมีวิสัยทัศน์ (Visioning) *(เฉพาะผู้บริหาร)</t>
  </si>
  <si>
    <t>การวางกลยุทธ์ของหน่วยงาน (Strategic Orientation) *(เฉพาะผู้บริหาร)</t>
  </si>
  <si>
    <t>การสอนงานและมอบหมายงาน (Coaching and Empowering Others) *(เฉพาะผู้บริหาร)</t>
  </si>
  <si>
    <t>รอบที่ 2 เดือนกุมภาพันธ์ 2563 - กรกฎาคม 2563</t>
  </si>
  <si>
    <t>-</t>
  </si>
  <si>
    <t>ชื่ออาจารย์</t>
  </si>
  <si>
    <t>ชื่อภาควิชา</t>
  </si>
  <si>
    <t>หัวหน้าภาควิชา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</si>
</sst>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0"/>
    <numFmt numFmtId="200" formatCode="0.0000"/>
    <numFmt numFmtId="201" formatCode="0.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  <numFmt numFmtId="208" formatCode="[$-41E]d\ mmmm\ yyyy"/>
    <numFmt numFmtId="209" formatCode="[$-F800]dddd\,\ mmmm\ dd\,\ yyyy"/>
  </numFmts>
  <fonts count="81">
    <font>
      <sz val="10"/>
      <name val="Arial"/>
      <family val="0"/>
    </font>
    <font>
      <sz val="8"/>
      <name val="Arial"/>
      <family val="2"/>
    </font>
    <font>
      <b/>
      <sz val="20"/>
      <name val="Browallia New"/>
      <family val="2"/>
    </font>
    <font>
      <sz val="16"/>
      <name val="Browallia New"/>
      <family val="2"/>
    </font>
    <font>
      <b/>
      <sz val="16"/>
      <name val="Browallia New"/>
      <family val="2"/>
    </font>
    <font>
      <b/>
      <sz val="18"/>
      <name val="Browallia New"/>
      <family val="2"/>
    </font>
    <font>
      <b/>
      <sz val="14"/>
      <name val="Browallia New"/>
      <family val="2"/>
    </font>
    <font>
      <b/>
      <sz val="12"/>
      <name val="Browallia New"/>
      <family val="2"/>
    </font>
    <font>
      <b/>
      <sz val="11"/>
      <name val="Browallia New"/>
      <family val="2"/>
    </font>
    <font>
      <sz val="14"/>
      <name val="Browallia New"/>
      <family val="2"/>
    </font>
    <font>
      <sz val="12"/>
      <name val="Browallia New"/>
      <family val="2"/>
    </font>
    <font>
      <b/>
      <u val="single"/>
      <sz val="18"/>
      <name val="Browallia New"/>
      <family val="2"/>
    </font>
    <font>
      <b/>
      <u val="single"/>
      <sz val="13"/>
      <name val="Browallia New"/>
      <family val="2"/>
    </font>
    <font>
      <sz val="13"/>
      <name val="Browallia New"/>
      <family val="2"/>
    </font>
    <font>
      <b/>
      <u val="single"/>
      <sz val="16"/>
      <name val="Browallia New"/>
      <family val="2"/>
    </font>
    <font>
      <b/>
      <u val="single"/>
      <sz val="14"/>
      <name val="Browallia New"/>
      <family val="2"/>
    </font>
    <font>
      <sz val="10"/>
      <name val="Browallia New"/>
      <family val="2"/>
    </font>
    <font>
      <b/>
      <u val="single"/>
      <sz val="11"/>
      <name val="Browallia New"/>
      <family val="2"/>
    </font>
    <font>
      <sz val="11"/>
      <name val="Browallia New"/>
      <family val="2"/>
    </font>
    <font>
      <u val="single"/>
      <sz val="12"/>
      <name val="Browallia New"/>
      <family val="2"/>
    </font>
    <font>
      <u val="single"/>
      <sz val="10"/>
      <name val="Browallia New"/>
      <family val="2"/>
    </font>
    <font>
      <b/>
      <sz val="18"/>
      <color indexed="10"/>
      <name val="Browallia New"/>
      <family val="2"/>
    </font>
    <font>
      <b/>
      <u val="single"/>
      <sz val="10"/>
      <name val="Browallia New"/>
      <family val="2"/>
    </font>
    <font>
      <b/>
      <sz val="10"/>
      <name val="Browallia New"/>
      <family val="2"/>
    </font>
    <font>
      <sz val="10"/>
      <name val="TH SarabunPSK"/>
      <family val="2"/>
    </font>
    <font>
      <sz val="14"/>
      <color indexed="8"/>
      <name val="BrowalliaUPC"/>
      <family val="2"/>
    </font>
    <font>
      <sz val="15"/>
      <color indexed="8"/>
      <name val="TH SarabunPSK"/>
      <family val="2"/>
    </font>
    <font>
      <sz val="7"/>
      <color indexed="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BrowalliaUPC"/>
      <family val="2"/>
    </font>
    <font>
      <b/>
      <sz val="14"/>
      <color indexed="8"/>
      <name val="Browallia New"/>
      <family val="2"/>
    </font>
    <font>
      <sz val="14"/>
      <color indexed="10"/>
      <name val="Browallia New"/>
      <family val="2"/>
    </font>
    <font>
      <sz val="15"/>
      <color indexed="8"/>
      <name val="Symbol"/>
      <family val="1"/>
    </font>
    <font>
      <sz val="14"/>
      <color indexed="63"/>
      <name val="BrowalliaUP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BrowalliaUPC"/>
      <family val="2"/>
    </font>
    <font>
      <sz val="14"/>
      <color rgb="FF000000"/>
      <name val="BrowalliaUPC"/>
      <family val="2"/>
    </font>
    <font>
      <sz val="14"/>
      <color theme="1"/>
      <name val="BrowalliaUPC"/>
      <family val="2"/>
    </font>
    <font>
      <b/>
      <sz val="14"/>
      <color theme="1"/>
      <name val="Browallia New"/>
      <family val="2"/>
    </font>
    <font>
      <sz val="14"/>
      <color rgb="FFFF0000"/>
      <name val="Browallia New"/>
      <family val="2"/>
    </font>
    <font>
      <b/>
      <sz val="14"/>
      <color rgb="FF000000"/>
      <name val="BrowalliaUPC"/>
      <family val="2"/>
    </font>
    <font>
      <sz val="15"/>
      <color rgb="FF000000"/>
      <name val="Symbol"/>
      <family val="1"/>
    </font>
    <font>
      <sz val="15"/>
      <color rgb="FF000000"/>
      <name val="TH SarabunPSK"/>
      <family val="2"/>
    </font>
    <font>
      <sz val="14"/>
      <color rgb="FF212121"/>
      <name val="BrowalliaUPC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 vertical="top" wrapText="1"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7" fillId="33" borderId="10" xfId="0" applyFont="1" applyFill="1" applyBorder="1" applyAlignment="1" applyProtection="1">
      <alignment horizontal="left" vertical="top" wrapText="1"/>
      <protection/>
    </xf>
    <xf numFmtId="0" fontId="18" fillId="0" borderId="10" xfId="0" applyFont="1" applyFill="1" applyBorder="1" applyAlignment="1" applyProtection="1">
      <alignment horizontal="left" vertical="top" wrapText="1"/>
      <protection locked="0"/>
    </xf>
    <xf numFmtId="17" fontId="18" fillId="0" borderId="10" xfId="0" applyNumberFormat="1" applyFont="1" applyFill="1" applyBorder="1" applyAlignment="1" applyProtection="1">
      <alignment horizontal="left" vertical="top" wrapText="1"/>
      <protection locked="0"/>
    </xf>
    <xf numFmtId="0" fontId="18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35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0" fontId="10" fillId="36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6" fillId="34" borderId="10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37" borderId="10" xfId="0" applyFont="1" applyFill="1" applyBorder="1" applyAlignment="1">
      <alignment vertical="top" wrapText="1"/>
    </xf>
    <xf numFmtId="0" fontId="16" fillId="37" borderId="10" xfId="0" applyFont="1" applyFill="1" applyBorder="1" applyAlignment="1" applyProtection="1">
      <alignment vertical="top" wrapText="1"/>
      <protection locked="0"/>
    </xf>
    <xf numFmtId="0" fontId="16" fillId="0" borderId="10" xfId="0" applyFont="1" applyBorder="1" applyAlignment="1" applyProtection="1">
      <alignment vertical="top" wrapText="1"/>
      <protection locked="0"/>
    </xf>
    <xf numFmtId="0" fontId="22" fillId="38" borderId="11" xfId="0" applyFont="1" applyFill="1" applyBorder="1" applyAlignment="1" applyProtection="1">
      <alignment horizontal="left" vertical="center" wrapText="1"/>
      <protection/>
    </xf>
    <xf numFmtId="2" fontId="16" fillId="33" borderId="11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top" wrapText="1"/>
      <protection locked="0"/>
    </xf>
    <xf numFmtId="2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 vertical="top" wrapText="1"/>
      <protection/>
    </xf>
    <xf numFmtId="0" fontId="22" fillId="38" borderId="1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22" fillId="33" borderId="1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23" fillId="39" borderId="10" xfId="0" applyFont="1" applyFill="1" applyBorder="1" applyAlignment="1" applyProtection="1">
      <alignment horizontal="center" vertical="top" wrapText="1"/>
      <protection/>
    </xf>
    <xf numFmtId="0" fontId="16" fillId="0" borderId="12" xfId="0" applyFont="1" applyBorder="1" applyAlignment="1">
      <alignment/>
    </xf>
    <xf numFmtId="0" fontId="23" fillId="39" borderId="13" xfId="0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 applyProtection="1">
      <alignment vertical="top" wrapText="1"/>
      <protection locked="0"/>
    </xf>
    <xf numFmtId="0" fontId="23" fillId="39" borderId="11" xfId="0" applyFont="1" applyFill="1" applyBorder="1" applyAlignment="1" applyProtection="1">
      <alignment horizontal="center" vertical="top" wrapText="1"/>
      <protection/>
    </xf>
    <xf numFmtId="0" fontId="23" fillId="39" borderId="11" xfId="0" applyFont="1" applyFill="1" applyBorder="1" applyAlignment="1" applyProtection="1">
      <alignment vertical="top" wrapText="1"/>
      <protection/>
    </xf>
    <xf numFmtId="0" fontId="23" fillId="39" borderId="10" xfId="0" applyFont="1" applyFill="1" applyBorder="1" applyAlignment="1" applyProtection="1">
      <alignment vertical="top" wrapText="1"/>
      <protection/>
    </xf>
    <xf numFmtId="0" fontId="23" fillId="39" borderId="14" xfId="0" applyFont="1" applyFill="1" applyBorder="1" applyAlignment="1" applyProtection="1">
      <alignment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16" fillId="40" borderId="11" xfId="0" applyFont="1" applyFill="1" applyBorder="1" applyAlignment="1" applyProtection="1">
      <alignment horizontal="left" vertical="top" wrapText="1"/>
      <protection locked="0"/>
    </xf>
    <xf numFmtId="2" fontId="16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6" fillId="33" borderId="14" xfId="0" applyFont="1" applyFill="1" applyBorder="1" applyAlignment="1" applyProtection="1">
      <alignment horizontal="left" vertical="top" wrapText="1"/>
      <protection locked="0"/>
    </xf>
    <xf numFmtId="2" fontId="16" fillId="0" borderId="10" xfId="0" applyNumberFormat="1" applyFont="1" applyFill="1" applyBorder="1" applyAlignment="1" applyProtection="1">
      <alignment horizontal="left" vertical="top" wrapText="1"/>
      <protection locked="0"/>
    </xf>
    <xf numFmtId="2" fontId="16" fillId="0" borderId="11" xfId="0" applyNumberFormat="1" applyFont="1" applyFill="1" applyBorder="1" applyAlignment="1" applyProtection="1">
      <alignment horizontal="left" vertical="top" wrapText="1"/>
      <protection locked="0"/>
    </xf>
    <xf numFmtId="2" fontId="16" fillId="33" borderId="11" xfId="0" applyNumberFormat="1" applyFont="1" applyFill="1" applyBorder="1" applyAlignment="1" applyProtection="1">
      <alignment horizontal="left" vertical="top" wrapText="1"/>
      <protection locked="0"/>
    </xf>
    <xf numFmtId="2" fontId="16" fillId="37" borderId="10" xfId="0" applyNumberFormat="1" applyFont="1" applyFill="1" applyBorder="1" applyAlignment="1" applyProtection="1">
      <alignment horizontal="left" vertical="top" wrapText="1"/>
      <protection locked="0"/>
    </xf>
    <xf numFmtId="2" fontId="16" fillId="34" borderId="10" xfId="0" applyNumberFormat="1" applyFont="1" applyFill="1" applyBorder="1" applyAlignment="1" applyProtection="1">
      <alignment horizontal="left" vertical="top" wrapText="1"/>
      <protection locked="0"/>
    </xf>
    <xf numFmtId="0" fontId="16" fillId="33" borderId="10" xfId="0" applyFont="1" applyFill="1" applyBorder="1" applyAlignment="1" applyProtection="1">
      <alignment horizontal="left" vertical="top" wrapText="1"/>
      <protection locked="0"/>
    </xf>
    <xf numFmtId="2" fontId="16" fillId="33" borderId="10" xfId="0" applyNumberFormat="1" applyFont="1" applyFill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2" fontId="22" fillId="33" borderId="10" xfId="0" applyNumberFormat="1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vertical="center" wrapText="1"/>
      <protection/>
    </xf>
    <xf numFmtId="2" fontId="16" fillId="33" borderId="10" xfId="0" applyNumberFormat="1" applyFont="1" applyFill="1" applyBorder="1" applyAlignment="1" applyProtection="1">
      <alignment vertical="center" wrapText="1"/>
      <protection/>
    </xf>
    <xf numFmtId="0" fontId="16" fillId="0" borderId="12" xfId="0" applyFont="1" applyBorder="1" applyAlignment="1" applyProtection="1">
      <alignment/>
      <protection/>
    </xf>
    <xf numFmtId="0" fontId="16" fillId="40" borderId="10" xfId="0" applyFont="1" applyFill="1" applyBorder="1" applyAlignment="1" applyProtection="1">
      <alignment vertical="top" wrapText="1"/>
      <protection locked="0"/>
    </xf>
    <xf numFmtId="0" fontId="22" fillId="38" borderId="11" xfId="0" applyFont="1" applyFill="1" applyBorder="1" applyAlignment="1" applyProtection="1">
      <alignment horizontal="center" vertical="center" wrapText="1"/>
      <protection/>
    </xf>
    <xf numFmtId="43" fontId="16" fillId="0" borderId="10" xfId="42" applyFont="1" applyFill="1" applyBorder="1" applyAlignment="1" applyProtection="1">
      <alignment horizontal="left" vertical="top" wrapText="1"/>
      <protection locked="0"/>
    </xf>
    <xf numFmtId="0" fontId="16" fillId="40" borderId="16" xfId="0" applyFont="1" applyFill="1" applyBorder="1" applyAlignment="1" applyProtection="1">
      <alignment vertical="top" wrapText="1"/>
      <protection locked="0"/>
    </xf>
    <xf numFmtId="0" fontId="22" fillId="38" borderId="14" xfId="0" applyFont="1" applyFill="1" applyBorder="1" applyAlignment="1" applyProtection="1">
      <alignment vertical="center" wrapText="1"/>
      <protection/>
    </xf>
    <xf numFmtId="0" fontId="22" fillId="38" borderId="10" xfId="0" applyFont="1" applyFill="1" applyBorder="1" applyAlignment="1" applyProtection="1">
      <alignment horizontal="center" vertical="center" wrapText="1"/>
      <protection/>
    </xf>
    <xf numFmtId="2" fontId="16" fillId="33" borderId="12" xfId="0" applyNumberFormat="1" applyFont="1" applyFill="1" applyBorder="1" applyAlignment="1" applyProtection="1">
      <alignment vertical="center" wrapText="1"/>
      <protection/>
    </xf>
    <xf numFmtId="0" fontId="23" fillId="39" borderId="14" xfId="0" applyFont="1" applyFill="1" applyBorder="1" applyAlignment="1" applyProtection="1">
      <alignment horizontal="center" vertical="top" wrapText="1"/>
      <protection/>
    </xf>
    <xf numFmtId="0" fontId="24" fillId="0" borderId="10" xfId="0" applyFont="1" applyBorder="1" applyAlignment="1" applyProtection="1">
      <alignment horizontal="left" vertical="top" wrapText="1"/>
      <protection locked="0"/>
    </xf>
    <xf numFmtId="2" fontId="24" fillId="0" borderId="10" xfId="0" applyNumberFormat="1" applyFont="1" applyFill="1" applyBorder="1" applyAlignment="1" applyProtection="1">
      <alignment horizontal="left" vertical="top" wrapText="1"/>
      <protection locked="0"/>
    </xf>
    <xf numFmtId="0" fontId="24" fillId="40" borderId="11" xfId="0" applyFont="1" applyFill="1" applyBorder="1" applyAlignment="1" applyProtection="1">
      <alignment horizontal="left" vertical="top" wrapText="1"/>
      <protection locked="0"/>
    </xf>
    <xf numFmtId="0" fontId="18" fillId="40" borderId="10" xfId="0" applyFont="1" applyFill="1" applyBorder="1" applyAlignment="1" applyProtection="1">
      <alignment vertical="top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18" fillId="37" borderId="10" xfId="0" applyFont="1" applyFill="1" applyBorder="1" applyAlignment="1" applyProtection="1">
      <alignment vertical="top" wrapText="1"/>
      <protection locked="0"/>
    </xf>
    <xf numFmtId="0" fontId="18" fillId="37" borderId="10" xfId="0" applyFont="1" applyFill="1" applyBorder="1" applyAlignment="1">
      <alignment vertical="top" wrapText="1"/>
    </xf>
    <xf numFmtId="0" fontId="72" fillId="0" borderId="0" xfId="0" applyFont="1" applyAlignment="1">
      <alignment horizontal="left" vertical="top" wrapText="1"/>
    </xf>
    <xf numFmtId="0" fontId="73" fillId="2" borderId="10" xfId="0" applyFont="1" applyFill="1" applyBorder="1" applyAlignment="1">
      <alignment horizontal="center" vertical="top" wrapText="1"/>
    </xf>
    <xf numFmtId="0" fontId="74" fillId="0" borderId="10" xfId="0" applyFont="1" applyBorder="1" applyAlignment="1">
      <alignment horizontal="left" vertical="top" wrapText="1"/>
    </xf>
    <xf numFmtId="0" fontId="74" fillId="0" borderId="0" xfId="0" applyFont="1" applyAlignment="1">
      <alignment horizontal="left" vertical="top" wrapText="1"/>
    </xf>
    <xf numFmtId="0" fontId="18" fillId="41" borderId="10" xfId="0" applyFont="1" applyFill="1" applyBorder="1" applyAlignment="1" applyProtection="1">
      <alignment horizontal="left" vertical="top" wrapText="1"/>
      <protection locked="0"/>
    </xf>
    <xf numFmtId="0" fontId="18" fillId="41" borderId="10" xfId="0" applyFont="1" applyFill="1" applyBorder="1" applyAlignment="1" applyProtection="1" quotePrefix="1">
      <alignment horizontal="left" vertical="top"/>
      <protection locked="0"/>
    </xf>
    <xf numFmtId="0" fontId="18" fillId="0" borderId="0" xfId="0" applyFont="1" applyFill="1" applyAlignment="1" applyProtection="1">
      <alignment vertical="top" wrapText="1"/>
      <protection/>
    </xf>
    <xf numFmtId="0" fontId="18" fillId="33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Fill="1" applyBorder="1" applyAlignment="1" applyProtection="1">
      <alignment horizontal="left" vertical="top" wrapText="1"/>
      <protection/>
    </xf>
    <xf numFmtId="2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33" borderId="10" xfId="0" applyFont="1" applyFill="1" applyBorder="1" applyAlignment="1" applyProtection="1">
      <alignment horizontal="left" vertical="top" wrapText="1"/>
      <protection/>
    </xf>
    <xf numFmtId="2" fontId="18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 vertical="top" wrapText="1"/>
      <protection/>
    </xf>
    <xf numFmtId="0" fontId="16" fillId="0" borderId="17" xfId="0" applyFont="1" applyBorder="1" applyAlignment="1" applyProtection="1">
      <alignment vertical="top" wrapText="1"/>
      <protection/>
    </xf>
    <xf numFmtId="0" fontId="18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top"/>
      <protection/>
    </xf>
    <xf numFmtId="0" fontId="16" fillId="0" borderId="12" xfId="0" applyFont="1" applyBorder="1" applyAlignment="1" applyProtection="1">
      <alignment vertical="top" wrapText="1"/>
      <protection/>
    </xf>
    <xf numFmtId="0" fontId="18" fillId="0" borderId="0" xfId="0" applyFont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8" fillId="0" borderId="18" xfId="0" applyFont="1" applyFill="1" applyBorder="1" applyAlignment="1" applyProtection="1">
      <alignment horizontal="left" vertical="top"/>
      <protection/>
    </xf>
    <xf numFmtId="0" fontId="18" fillId="33" borderId="16" xfId="0" applyFont="1" applyFill="1" applyBorder="1" applyAlignment="1" applyProtection="1">
      <alignment vertical="top" wrapText="1"/>
      <protection/>
    </xf>
    <xf numFmtId="0" fontId="3" fillId="42" borderId="0" xfId="0" applyFont="1" applyFill="1" applyAlignment="1" applyProtection="1">
      <alignment/>
      <protection locked="0"/>
    </xf>
    <xf numFmtId="0" fontId="9" fillId="42" borderId="0" xfId="0" applyFont="1" applyFill="1" applyAlignment="1" applyProtection="1">
      <alignment vertical="top"/>
      <protection locked="0"/>
    </xf>
    <xf numFmtId="0" fontId="9" fillId="43" borderId="19" xfId="0" applyFont="1" applyFill="1" applyBorder="1" applyAlignment="1" applyProtection="1" quotePrefix="1">
      <alignment horizontal="center" vertical="top" wrapText="1"/>
      <protection locked="0"/>
    </xf>
    <xf numFmtId="0" fontId="9" fillId="43" borderId="19" xfId="0" applyFont="1" applyFill="1" applyBorder="1" applyAlignment="1" applyProtection="1">
      <alignment horizontal="center" vertical="top" wrapText="1"/>
      <protection locked="0"/>
    </xf>
    <xf numFmtId="0" fontId="6" fillId="42" borderId="0" xfId="0" applyFont="1" applyFill="1" applyAlignment="1" applyProtection="1">
      <alignment vertical="top"/>
      <protection locked="0"/>
    </xf>
    <xf numFmtId="0" fontId="10" fillId="42" borderId="0" xfId="0" applyFont="1" applyFill="1" applyBorder="1" applyAlignment="1" applyProtection="1">
      <alignment vertical="top"/>
      <protection locked="0"/>
    </xf>
    <xf numFmtId="0" fontId="10" fillId="42" borderId="0" xfId="0" applyFont="1" applyFill="1" applyBorder="1" applyAlignment="1" applyProtection="1">
      <alignment/>
      <protection locked="0"/>
    </xf>
    <xf numFmtId="0" fontId="9" fillId="42" borderId="0" xfId="0" applyFont="1" applyFill="1" applyAlignment="1" applyProtection="1">
      <alignment/>
      <protection locked="0"/>
    </xf>
    <xf numFmtId="0" fontId="9" fillId="42" borderId="0" xfId="0" applyFont="1" applyFill="1" applyBorder="1" applyAlignment="1" applyProtection="1">
      <alignment/>
      <protection locked="0"/>
    </xf>
    <xf numFmtId="0" fontId="6" fillId="42" borderId="0" xfId="0" applyFont="1" applyFill="1" applyAlignment="1" applyProtection="1">
      <alignment/>
      <protection locked="0"/>
    </xf>
    <xf numFmtId="0" fontId="9" fillId="42" borderId="0" xfId="0" applyFont="1" applyFill="1" applyAlignment="1" applyProtection="1">
      <alignment vertical="center"/>
      <protection locked="0"/>
    </xf>
    <xf numFmtId="0" fontId="6" fillId="42" borderId="13" xfId="0" applyFont="1" applyFill="1" applyBorder="1" applyAlignment="1" applyProtection="1">
      <alignment horizontal="right" vertical="top" wrapText="1"/>
      <protection/>
    </xf>
    <xf numFmtId="0" fontId="6" fillId="42" borderId="10" xfId="0" applyFont="1" applyFill="1" applyBorder="1" applyAlignment="1" applyProtection="1">
      <alignment horizontal="center" vertical="top" wrapText="1"/>
      <protection/>
    </xf>
    <xf numFmtId="0" fontId="6" fillId="42" borderId="11" xfId="0" applyFont="1" applyFill="1" applyBorder="1" applyAlignment="1" applyProtection="1">
      <alignment horizontal="center" vertical="top" wrapText="1"/>
      <protection/>
    </xf>
    <xf numFmtId="0" fontId="6" fillId="42" borderId="0" xfId="0" applyFont="1" applyFill="1" applyAlignment="1" applyProtection="1">
      <alignment vertical="top"/>
      <protection/>
    </xf>
    <xf numFmtId="0" fontId="6" fillId="42" borderId="18" xfId="0" applyFont="1" applyFill="1" applyBorder="1" applyAlignment="1" applyProtection="1">
      <alignment vertical="top"/>
      <protection/>
    </xf>
    <xf numFmtId="0" fontId="6" fillId="42" borderId="20" xfId="0" applyFont="1" applyFill="1" applyBorder="1" applyAlignment="1" applyProtection="1">
      <alignment vertical="top"/>
      <protection/>
    </xf>
    <xf numFmtId="0" fontId="10" fillId="42" borderId="20" xfId="0" applyFont="1" applyFill="1" applyBorder="1" applyAlignment="1" applyProtection="1">
      <alignment vertical="top"/>
      <protection/>
    </xf>
    <xf numFmtId="0" fontId="6" fillId="42" borderId="12" xfId="0" applyFont="1" applyFill="1" applyBorder="1" applyAlignment="1" applyProtection="1">
      <alignment vertical="top"/>
      <protection/>
    </xf>
    <xf numFmtId="0" fontId="10" fillId="42" borderId="12" xfId="0" applyFont="1" applyFill="1" applyBorder="1" applyAlignment="1" applyProtection="1">
      <alignment vertical="top"/>
      <protection/>
    </xf>
    <xf numFmtId="0" fontId="6" fillId="42" borderId="12" xfId="0" applyFont="1" applyFill="1" applyBorder="1" applyAlignment="1" applyProtection="1">
      <alignment horizontal="center" vertical="top"/>
      <protection/>
    </xf>
    <xf numFmtId="0" fontId="6" fillId="42" borderId="21" xfId="0" applyFont="1" applyFill="1" applyBorder="1" applyAlignment="1" applyProtection="1">
      <alignment horizontal="center" vertical="top" wrapText="1"/>
      <protection/>
    </xf>
    <xf numFmtId="2" fontId="75" fillId="42" borderId="16" xfId="0" applyNumberFormat="1" applyFont="1" applyFill="1" applyBorder="1" applyAlignment="1" applyProtection="1">
      <alignment horizontal="center" vertical="center" wrapText="1"/>
      <protection/>
    </xf>
    <xf numFmtId="0" fontId="6" fillId="42" borderId="22" xfId="0" applyFont="1" applyFill="1" applyBorder="1" applyAlignment="1" applyProtection="1">
      <alignment vertical="top"/>
      <protection/>
    </xf>
    <xf numFmtId="0" fontId="6" fillId="42" borderId="17" xfId="0" applyFont="1" applyFill="1" applyBorder="1" applyAlignment="1" applyProtection="1">
      <alignment vertical="top"/>
      <protection/>
    </xf>
    <xf numFmtId="0" fontId="10" fillId="42" borderId="17" xfId="0" applyFont="1" applyFill="1" applyBorder="1" applyAlignment="1" applyProtection="1">
      <alignment vertical="top"/>
      <protection/>
    </xf>
    <xf numFmtId="0" fontId="6" fillId="42" borderId="17" xfId="0" applyFont="1" applyFill="1" applyBorder="1" applyAlignment="1" applyProtection="1">
      <alignment horizontal="center" vertical="top"/>
      <protection/>
    </xf>
    <xf numFmtId="0" fontId="6" fillId="42" borderId="23" xfId="0" applyFont="1" applyFill="1" applyBorder="1" applyAlignment="1" applyProtection="1">
      <alignment horizontal="center" vertical="top" wrapText="1"/>
      <protection/>
    </xf>
    <xf numFmtId="0" fontId="75" fillId="42" borderId="11" xfId="0" applyFont="1" applyFill="1" applyBorder="1" applyAlignment="1" applyProtection="1">
      <alignment horizontal="center" vertical="center" wrapText="1"/>
      <protection/>
    </xf>
    <xf numFmtId="0" fontId="7" fillId="42" borderId="0" xfId="0" applyFont="1" applyFill="1" applyBorder="1" applyAlignment="1" applyProtection="1">
      <alignment horizontal="center" vertical="top"/>
      <protection/>
    </xf>
    <xf numFmtId="0" fontId="10" fillId="42" borderId="0" xfId="0" applyFont="1" applyFill="1" applyBorder="1" applyAlignment="1" applyProtection="1">
      <alignment vertical="top"/>
      <protection/>
    </xf>
    <xf numFmtId="0" fontId="10" fillId="42" borderId="0" xfId="0" applyFont="1" applyFill="1" applyBorder="1" applyAlignment="1" applyProtection="1">
      <alignment horizontal="center" vertical="top"/>
      <protection/>
    </xf>
    <xf numFmtId="0" fontId="10" fillId="42" borderId="0" xfId="0" applyFont="1" applyFill="1" applyBorder="1" applyAlignment="1" applyProtection="1">
      <alignment/>
      <protection/>
    </xf>
    <xf numFmtId="0" fontId="5" fillId="42" borderId="0" xfId="0" applyFont="1" applyFill="1" applyAlignment="1" applyProtection="1">
      <alignment vertical="center"/>
      <protection/>
    </xf>
    <xf numFmtId="0" fontId="3" fillId="42" borderId="0" xfId="0" applyFont="1" applyFill="1" applyAlignment="1" applyProtection="1">
      <alignment/>
      <protection/>
    </xf>
    <xf numFmtId="0" fontId="6" fillId="42" borderId="20" xfId="0" applyFont="1" applyFill="1" applyBorder="1" applyAlignment="1" applyProtection="1">
      <alignment horizontal="center" vertical="top" wrapText="1"/>
      <protection/>
    </xf>
    <xf numFmtId="0" fontId="9" fillId="42" borderId="0" xfId="0" applyFont="1" applyFill="1" applyAlignment="1" applyProtection="1">
      <alignment/>
      <protection/>
    </xf>
    <xf numFmtId="0" fontId="6" fillId="42" borderId="14" xfId="0" applyFont="1" applyFill="1" applyBorder="1" applyAlignment="1" applyProtection="1">
      <alignment horizontal="center" vertical="top" wrapText="1"/>
      <protection/>
    </xf>
    <xf numFmtId="0" fontId="6" fillId="42" borderId="24" xfId="0" applyFont="1" applyFill="1" applyBorder="1" applyAlignment="1" applyProtection="1">
      <alignment/>
      <protection/>
    </xf>
    <xf numFmtId="0" fontId="9" fillId="42" borderId="25" xfId="0" applyFont="1" applyFill="1" applyBorder="1" applyAlignment="1" applyProtection="1">
      <alignment/>
      <protection/>
    </xf>
    <xf numFmtId="0" fontId="9" fillId="42" borderId="26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/>
      <protection/>
    </xf>
    <xf numFmtId="0" fontId="9" fillId="42" borderId="27" xfId="0" applyFont="1" applyFill="1" applyBorder="1" applyAlignment="1" applyProtection="1">
      <alignment/>
      <protection/>
    </xf>
    <xf numFmtId="0" fontId="74" fillId="0" borderId="26" xfId="0" applyFont="1" applyBorder="1" applyAlignment="1" applyProtection="1">
      <alignment horizontal="center" vertical="top" wrapText="1"/>
      <protection/>
    </xf>
    <xf numFmtId="0" fontId="9" fillId="42" borderId="28" xfId="0" applyFont="1" applyFill="1" applyBorder="1" applyAlignment="1" applyProtection="1">
      <alignment/>
      <protection/>
    </xf>
    <xf numFmtId="0" fontId="9" fillId="42" borderId="29" xfId="0" applyFont="1" applyFill="1" applyBorder="1" applyAlignment="1" applyProtection="1">
      <alignment/>
      <protection/>
    </xf>
    <xf numFmtId="0" fontId="9" fillId="0" borderId="30" xfId="0" applyFont="1" applyFill="1" applyBorder="1" applyAlignment="1" applyProtection="1" quotePrefix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72" fillId="42" borderId="28" xfId="0" applyFont="1" applyFill="1" applyBorder="1" applyAlignment="1" applyProtection="1">
      <alignment horizontal="right" vertical="top" wrapText="1"/>
      <protection/>
    </xf>
    <xf numFmtId="0" fontId="72" fillId="42" borderId="31" xfId="0" applyFont="1" applyFill="1" applyBorder="1" applyAlignment="1" applyProtection="1">
      <alignment horizontal="right" vertical="top" wrapText="1"/>
      <protection/>
    </xf>
    <xf numFmtId="0" fontId="72" fillId="42" borderId="29" xfId="0" applyFont="1" applyFill="1" applyBorder="1" applyAlignment="1" applyProtection="1">
      <alignment horizontal="right" vertical="top" wrapText="1"/>
      <protection/>
    </xf>
    <xf numFmtId="0" fontId="9" fillId="42" borderId="28" xfId="0" applyFont="1" applyFill="1" applyBorder="1" applyAlignment="1" applyProtection="1">
      <alignment horizontal="right"/>
      <protection/>
    </xf>
    <xf numFmtId="0" fontId="9" fillId="42" borderId="29" xfId="0" applyFont="1" applyFill="1" applyBorder="1" applyAlignment="1" applyProtection="1">
      <alignment horizontal="right"/>
      <protection/>
    </xf>
    <xf numFmtId="0" fontId="74" fillId="0" borderId="30" xfId="0" applyFont="1" applyBorder="1" applyAlignment="1" applyProtection="1">
      <alignment horizontal="center" vertical="top" wrapText="1"/>
      <protection/>
    </xf>
    <xf numFmtId="0" fontId="9" fillId="42" borderId="31" xfId="0" applyFont="1" applyFill="1" applyBorder="1" applyAlignment="1" applyProtection="1">
      <alignment horizontal="right"/>
      <protection/>
    </xf>
    <xf numFmtId="0" fontId="9" fillId="42" borderId="32" xfId="0" applyFont="1" applyFill="1" applyBorder="1" applyAlignment="1" applyProtection="1">
      <alignment/>
      <protection/>
    </xf>
    <xf numFmtId="0" fontId="9" fillId="42" borderId="33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 quotePrefix="1">
      <alignment horizontal="center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42" borderId="32" xfId="0" applyFont="1" applyFill="1" applyBorder="1" applyAlignment="1" applyProtection="1">
      <alignment horizontal="right"/>
      <protection/>
    </xf>
    <xf numFmtId="0" fontId="9" fillId="42" borderId="34" xfId="0" applyFont="1" applyFill="1" applyBorder="1" applyAlignment="1" applyProtection="1">
      <alignment horizontal="right"/>
      <protection/>
    </xf>
    <xf numFmtId="0" fontId="9" fillId="42" borderId="33" xfId="0" applyFont="1" applyFill="1" applyBorder="1" applyAlignment="1" applyProtection="1">
      <alignment horizontal="right"/>
      <protection/>
    </xf>
    <xf numFmtId="0" fontId="74" fillId="0" borderId="19" xfId="0" applyFont="1" applyBorder="1" applyAlignment="1" applyProtection="1">
      <alignment horizontal="center" vertical="top" wrapText="1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 horizontal="right"/>
      <protection/>
    </xf>
    <xf numFmtId="0" fontId="9" fillId="42" borderId="27" xfId="0" applyFont="1" applyFill="1" applyBorder="1" applyAlignment="1" applyProtection="1">
      <alignment horizontal="right"/>
      <protection/>
    </xf>
    <xf numFmtId="0" fontId="9" fillId="42" borderId="25" xfId="0" applyFont="1" applyFill="1" applyBorder="1" applyAlignment="1" applyProtection="1">
      <alignment horizontal="right"/>
      <protection/>
    </xf>
    <xf numFmtId="0" fontId="76" fillId="42" borderId="29" xfId="0" applyFont="1" applyFill="1" applyBorder="1" applyAlignment="1" applyProtection="1">
      <alignment/>
      <protection/>
    </xf>
    <xf numFmtId="0" fontId="76" fillId="42" borderId="33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 quotePrefix="1">
      <alignment horizontal="center"/>
      <protection/>
    </xf>
    <xf numFmtId="0" fontId="76" fillId="42" borderId="25" xfId="0" applyFont="1" applyFill="1" applyBorder="1" applyAlignment="1" applyProtection="1">
      <alignment horizontal="right"/>
      <protection/>
    </xf>
    <xf numFmtId="0" fontId="9" fillId="42" borderId="14" xfId="0" applyFont="1" applyFill="1" applyBorder="1" applyAlignment="1" applyProtection="1">
      <alignment/>
      <protection/>
    </xf>
    <xf numFmtId="0" fontId="6" fillId="42" borderId="13" xfId="0" applyFont="1" applyFill="1" applyBorder="1" applyAlignment="1" applyProtection="1">
      <alignment vertical="center"/>
      <protection/>
    </xf>
    <xf numFmtId="0" fontId="9" fillId="42" borderId="10" xfId="0" applyFont="1" applyFill="1" applyBorder="1" applyAlignment="1" applyProtection="1">
      <alignment/>
      <protection/>
    </xf>
    <xf numFmtId="0" fontId="6" fillId="42" borderId="14" xfId="0" applyFont="1" applyFill="1" applyBorder="1" applyAlignment="1" applyProtection="1">
      <alignment horizontal="right" vertical="center"/>
      <protection/>
    </xf>
    <xf numFmtId="0" fontId="6" fillId="42" borderId="13" xfId="0" applyFont="1" applyFill="1" applyBorder="1" applyAlignment="1" applyProtection="1">
      <alignment horizontal="right" vertical="center"/>
      <protection/>
    </xf>
    <xf numFmtId="0" fontId="6" fillId="42" borderId="10" xfId="0" applyFont="1" applyFill="1" applyBorder="1" applyAlignment="1" applyProtection="1">
      <alignment horizontal="center" vertical="center"/>
      <protection/>
    </xf>
    <xf numFmtId="0" fontId="9" fillId="42" borderId="0" xfId="0" applyFont="1" applyFill="1" applyBorder="1" applyAlignment="1" applyProtection="1">
      <alignment/>
      <protection/>
    </xf>
    <xf numFmtId="0" fontId="9" fillId="42" borderId="0" xfId="0" applyFont="1" applyFill="1" applyBorder="1" applyAlignment="1" applyProtection="1">
      <alignment horizontal="left"/>
      <protection/>
    </xf>
    <xf numFmtId="0" fontId="76" fillId="42" borderId="0" xfId="0" applyFont="1" applyFill="1" applyBorder="1" applyAlignment="1" applyProtection="1">
      <alignment horizontal="left"/>
      <protection/>
    </xf>
    <xf numFmtId="0" fontId="6" fillId="42" borderId="10" xfId="0" applyFont="1" applyFill="1" applyBorder="1" applyAlignment="1" applyProtection="1">
      <alignment horizontal="center" vertical="top"/>
      <protection/>
    </xf>
    <xf numFmtId="0" fontId="6" fillId="42" borderId="0" xfId="0" applyFont="1" applyFill="1" applyAlignment="1" applyProtection="1">
      <alignment/>
      <protection/>
    </xf>
    <xf numFmtId="0" fontId="8" fillId="42" borderId="10" xfId="0" applyFont="1" applyFill="1" applyBorder="1" applyAlignment="1" applyProtection="1">
      <alignment horizontal="center"/>
      <protection/>
    </xf>
    <xf numFmtId="0" fontId="6" fillId="42" borderId="10" xfId="0" applyFont="1" applyFill="1" applyBorder="1" applyAlignment="1" applyProtection="1">
      <alignment horizontal="center"/>
      <protection/>
    </xf>
    <xf numFmtId="0" fontId="10" fillId="42" borderId="10" xfId="0" applyFont="1" applyFill="1" applyBorder="1" applyAlignment="1" applyProtection="1">
      <alignment/>
      <protection/>
    </xf>
    <xf numFmtId="0" fontId="10" fillId="42" borderId="10" xfId="0" applyFont="1" applyFill="1" applyBorder="1" applyAlignment="1" applyProtection="1">
      <alignment horizontal="left"/>
      <protection/>
    </xf>
    <xf numFmtId="0" fontId="9" fillId="42" borderId="10" xfId="0" applyFont="1" applyFill="1" applyBorder="1" applyAlignment="1" applyProtection="1">
      <alignment horizontal="center"/>
      <protection/>
    </xf>
    <xf numFmtId="0" fontId="4" fillId="42" borderId="10" xfId="0" applyFont="1" applyFill="1" applyBorder="1" applyAlignment="1" applyProtection="1">
      <alignment horizontal="center"/>
      <protection/>
    </xf>
    <xf numFmtId="0" fontId="6" fillId="42" borderId="18" xfId="0" applyFont="1" applyFill="1" applyBorder="1" applyAlignment="1" applyProtection="1">
      <alignment horizontal="left" vertical="top"/>
      <protection/>
    </xf>
    <xf numFmtId="0" fontId="6" fillId="42" borderId="20" xfId="0" applyFont="1" applyFill="1" applyBorder="1" applyAlignment="1" applyProtection="1">
      <alignment horizontal="left" vertical="top"/>
      <protection/>
    </xf>
    <xf numFmtId="2" fontId="4" fillId="42" borderId="16" xfId="0" applyNumberFormat="1" applyFont="1" applyFill="1" applyBorder="1" applyAlignment="1" applyProtection="1">
      <alignment horizontal="center" vertical="center"/>
      <protection/>
    </xf>
    <xf numFmtId="0" fontId="6" fillId="42" borderId="22" xfId="0" applyFont="1" applyFill="1" applyBorder="1" applyAlignment="1" applyProtection="1">
      <alignment horizontal="center" wrapText="1"/>
      <protection/>
    </xf>
    <xf numFmtId="0" fontId="6" fillId="42" borderId="17" xfId="0" applyFont="1" applyFill="1" applyBorder="1" applyAlignment="1" applyProtection="1">
      <alignment horizontal="center"/>
      <protection/>
    </xf>
    <xf numFmtId="2" fontId="4" fillId="42" borderId="11" xfId="0" applyNumberFormat="1" applyFont="1" applyFill="1" applyBorder="1" applyAlignment="1" applyProtection="1">
      <alignment vertical="center"/>
      <protection/>
    </xf>
    <xf numFmtId="0" fontId="6" fillId="42" borderId="0" xfId="0" applyFont="1" applyFill="1" applyBorder="1" applyAlignment="1" applyProtection="1">
      <alignment horizontal="center" vertical="center"/>
      <protection/>
    </xf>
    <xf numFmtId="0" fontId="9" fillId="42" borderId="0" xfId="0" applyFont="1" applyFill="1" applyAlignment="1" applyProtection="1">
      <alignment vertical="center"/>
      <protection/>
    </xf>
    <xf numFmtId="0" fontId="9" fillId="42" borderId="15" xfId="0" applyFont="1" applyFill="1" applyBorder="1" applyAlignment="1" applyProtection="1">
      <alignment/>
      <protection/>
    </xf>
    <xf numFmtId="0" fontId="9" fillId="42" borderId="0" xfId="0" applyFont="1" applyFill="1" applyBorder="1" applyAlignment="1" applyProtection="1">
      <alignment horizontal="center"/>
      <protection/>
    </xf>
    <xf numFmtId="0" fontId="9" fillId="42" borderId="35" xfId="0" applyFont="1" applyFill="1" applyBorder="1" applyAlignment="1" applyProtection="1">
      <alignment/>
      <protection/>
    </xf>
    <xf numFmtId="0" fontId="9" fillId="42" borderId="15" xfId="0" applyFont="1" applyFill="1" applyBorder="1" applyAlignment="1" applyProtection="1">
      <alignment horizontal="left"/>
      <protection/>
    </xf>
    <xf numFmtId="0" fontId="9" fillId="42" borderId="35" xfId="0" applyFont="1" applyFill="1" applyBorder="1" applyAlignment="1" applyProtection="1">
      <alignment horizontal="left"/>
      <protection/>
    </xf>
    <xf numFmtId="0" fontId="9" fillId="42" borderId="17" xfId="0" applyFont="1" applyFill="1" applyBorder="1" applyAlignment="1" applyProtection="1">
      <alignment/>
      <protection/>
    </xf>
    <xf numFmtId="0" fontId="75" fillId="42" borderId="19" xfId="0" applyFont="1" applyFill="1" applyBorder="1" applyAlignment="1" applyProtection="1">
      <alignment horizontal="center" vertical="top" wrapText="1"/>
      <protection/>
    </xf>
    <xf numFmtId="0" fontId="10" fillId="42" borderId="19" xfId="57" applyFont="1" applyFill="1" applyBorder="1" applyAlignment="1" applyProtection="1">
      <alignment horizontal="center" vertical="top" wrapText="1"/>
      <protection/>
    </xf>
    <xf numFmtId="0" fontId="6" fillId="42" borderId="36" xfId="0" applyFont="1" applyFill="1" applyBorder="1" applyAlignment="1" applyProtection="1">
      <alignment horizontal="center" vertical="top"/>
      <protection/>
    </xf>
    <xf numFmtId="0" fontId="6" fillId="42" borderId="19" xfId="0" applyFont="1" applyFill="1" applyBorder="1" applyAlignment="1" applyProtection="1">
      <alignment horizontal="center" vertical="top" wrapText="1"/>
      <protection/>
    </xf>
    <xf numFmtId="0" fontId="9" fillId="42" borderId="30" xfId="0" applyFont="1" applyFill="1" applyBorder="1" applyAlignment="1" applyProtection="1">
      <alignment vertical="top" wrapText="1"/>
      <protection/>
    </xf>
    <xf numFmtId="0" fontId="18" fillId="42" borderId="30" xfId="0" applyFont="1" applyFill="1" applyBorder="1" applyAlignment="1" applyProtection="1">
      <alignment vertical="top" wrapText="1"/>
      <protection/>
    </xf>
    <xf numFmtId="0" fontId="4" fillId="42" borderId="0" xfId="0" applyFont="1" applyFill="1" applyBorder="1" applyAlignment="1" applyProtection="1">
      <alignment/>
      <protection/>
    </xf>
    <xf numFmtId="17" fontId="3" fillId="42" borderId="0" xfId="0" applyNumberFormat="1" applyFont="1" applyFill="1" applyBorder="1" applyAlignment="1" applyProtection="1">
      <alignment/>
      <protection/>
    </xf>
    <xf numFmtId="0" fontId="3" fillId="42" borderId="0" xfId="0" applyFont="1" applyFill="1" applyBorder="1" applyAlignment="1" applyProtection="1">
      <alignment/>
      <protection/>
    </xf>
    <xf numFmtId="0" fontId="3" fillId="42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42" borderId="0" xfId="0" applyFont="1" applyFill="1" applyBorder="1" applyAlignment="1" applyProtection="1">
      <alignment/>
      <protection/>
    </xf>
    <xf numFmtId="0" fontId="5" fillId="42" borderId="0" xfId="0" applyFont="1" applyFill="1" applyAlignment="1" applyProtection="1">
      <alignment/>
      <protection/>
    </xf>
    <xf numFmtId="0" fontId="6" fillId="42" borderId="18" xfId="0" applyFont="1" applyFill="1" applyBorder="1" applyAlignment="1" applyProtection="1">
      <alignment horizontal="center" vertical="top" wrapText="1"/>
      <protection/>
    </xf>
    <xf numFmtId="0" fontId="10" fillId="42" borderId="10" xfId="0" applyFont="1" applyFill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vertical="top" wrapText="1"/>
      <protection/>
    </xf>
    <xf numFmtId="0" fontId="9" fillId="0" borderId="16" xfId="57" applyFont="1" applyBorder="1" applyAlignment="1" applyProtection="1">
      <alignment vertical="top" wrapText="1"/>
      <protection/>
    </xf>
    <xf numFmtId="0" fontId="9" fillId="42" borderId="26" xfId="0" applyFont="1" applyFill="1" applyBorder="1" applyAlignment="1" applyProtection="1">
      <alignment horizontal="center" vertical="top" wrapText="1"/>
      <protection/>
    </xf>
    <xf numFmtId="0" fontId="75" fillId="42" borderId="26" xfId="0" applyFont="1" applyFill="1" applyBorder="1" applyAlignment="1" applyProtection="1">
      <alignment horizontal="center" vertical="top" wrapText="1"/>
      <protection/>
    </xf>
    <xf numFmtId="0" fontId="75" fillId="42" borderId="25" xfId="0" applyFont="1" applyFill="1" applyBorder="1" applyAlignment="1" applyProtection="1">
      <alignment horizontal="center" vertical="top" wrapText="1"/>
      <protection/>
    </xf>
    <xf numFmtId="0" fontId="10" fillId="42" borderId="25" xfId="57" applyFont="1" applyFill="1" applyBorder="1" applyAlignment="1" applyProtection="1">
      <alignment horizontal="center" vertical="top" wrapText="1"/>
      <protection/>
    </xf>
    <xf numFmtId="0" fontId="10" fillId="42" borderId="26" xfId="57" applyFont="1" applyFill="1" applyBorder="1" applyAlignment="1" applyProtection="1">
      <alignment horizontal="center" vertical="top" wrapText="1"/>
      <protection/>
    </xf>
    <xf numFmtId="0" fontId="6" fillId="42" borderId="16" xfId="0" applyFont="1" applyFill="1" applyBorder="1" applyAlignment="1" applyProtection="1">
      <alignment horizontal="center" vertical="top" wrapText="1"/>
      <protection/>
    </xf>
    <xf numFmtId="0" fontId="9" fillId="42" borderId="36" xfId="0" applyFont="1" applyFill="1" applyBorder="1" applyAlignment="1" applyProtection="1">
      <alignment vertical="top" wrapText="1"/>
      <protection/>
    </xf>
    <xf numFmtId="0" fontId="9" fillId="42" borderId="30" xfId="0" applyFont="1" applyFill="1" applyBorder="1" applyAlignment="1" applyProtection="1">
      <alignment horizontal="center" vertical="top" wrapText="1"/>
      <protection/>
    </xf>
    <xf numFmtId="0" fontId="75" fillId="42" borderId="30" xfId="0" applyFont="1" applyFill="1" applyBorder="1" applyAlignment="1" applyProtection="1">
      <alignment horizontal="center" vertical="top" wrapText="1"/>
      <protection/>
    </xf>
    <xf numFmtId="0" fontId="10" fillId="42" borderId="30" xfId="57" applyFont="1" applyFill="1" applyBorder="1" applyAlignment="1" applyProtection="1">
      <alignment horizontal="center" vertical="top" wrapText="1"/>
      <protection/>
    </xf>
    <xf numFmtId="0" fontId="6" fillId="42" borderId="30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14" xfId="0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0" fontId="76" fillId="0" borderId="10" xfId="0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22" fillId="38" borderId="11" xfId="0" applyFont="1" applyFill="1" applyBorder="1" applyAlignment="1" applyProtection="1">
      <alignment horizontal="left" vertical="center" wrapText="1"/>
      <protection locked="0"/>
    </xf>
    <xf numFmtId="0" fontId="22" fillId="38" borderId="14" xfId="0" applyFont="1" applyFill="1" applyBorder="1" applyAlignment="1" applyProtection="1">
      <alignment vertical="center" wrapText="1"/>
      <protection locked="0"/>
    </xf>
    <xf numFmtId="2" fontId="16" fillId="33" borderId="14" xfId="0" applyNumberFormat="1" applyFont="1" applyFill="1" applyBorder="1" applyAlignment="1" applyProtection="1">
      <alignment vertical="center" wrapText="1"/>
      <protection locked="0"/>
    </xf>
    <xf numFmtId="0" fontId="22" fillId="38" borderId="10" xfId="0" applyFont="1" applyFill="1" applyBorder="1" applyAlignment="1" applyProtection="1">
      <alignment horizontal="center" vertical="center" wrapText="1"/>
      <protection locked="0"/>
    </xf>
    <xf numFmtId="2" fontId="16" fillId="33" borderId="12" xfId="0" applyNumberFormat="1" applyFont="1" applyFill="1" applyBorder="1" applyAlignment="1" applyProtection="1">
      <alignment vertical="center" wrapText="1"/>
      <protection locked="0"/>
    </xf>
    <xf numFmtId="2" fontId="16" fillId="33" borderId="13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22" fillId="38" borderId="1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23" fillId="39" borderId="13" xfId="0" applyFont="1" applyFill="1" applyBorder="1" applyAlignment="1" applyProtection="1">
      <alignment horizontal="center" vertical="top" wrapText="1"/>
      <protection locked="0"/>
    </xf>
    <xf numFmtId="0" fontId="23" fillId="39" borderId="11" xfId="0" applyFont="1" applyFill="1" applyBorder="1" applyAlignment="1" applyProtection="1">
      <alignment vertical="top" wrapText="1"/>
      <protection locked="0"/>
    </xf>
    <xf numFmtId="0" fontId="23" fillId="39" borderId="10" xfId="0" applyFont="1" applyFill="1" applyBorder="1" applyAlignment="1" applyProtection="1">
      <alignment vertical="top" wrapText="1"/>
      <protection locked="0"/>
    </xf>
    <xf numFmtId="0" fontId="23" fillId="39" borderId="14" xfId="0" applyFont="1" applyFill="1" applyBorder="1" applyAlignment="1" applyProtection="1">
      <alignment vertical="top" wrapText="1"/>
      <protection locked="0"/>
    </xf>
    <xf numFmtId="0" fontId="73" fillId="43" borderId="10" xfId="0" applyFont="1" applyFill="1" applyBorder="1" applyAlignment="1">
      <alignment horizontal="center" vertical="top" wrapText="1"/>
    </xf>
    <xf numFmtId="0" fontId="74" fillId="43" borderId="10" xfId="0" applyFont="1" applyFill="1" applyBorder="1" applyAlignment="1">
      <alignment horizontal="left" vertical="top" wrapText="1"/>
    </xf>
    <xf numFmtId="0" fontId="73" fillId="0" borderId="10" xfId="0" applyFont="1" applyBorder="1" applyAlignment="1">
      <alignment horizontal="left" vertical="top" wrapText="1"/>
    </xf>
    <xf numFmtId="0" fontId="73" fillId="43" borderId="10" xfId="0" applyFont="1" applyFill="1" applyBorder="1" applyAlignment="1">
      <alignment horizontal="left" vertical="top" wrapText="1"/>
    </xf>
    <xf numFmtId="0" fontId="72" fillId="43" borderId="16" xfId="0" applyFont="1" applyFill="1" applyBorder="1" applyAlignment="1">
      <alignment horizontal="left" vertical="top" wrapText="1"/>
    </xf>
    <xf numFmtId="0" fontId="77" fillId="43" borderId="16" xfId="0" applyFont="1" applyFill="1" applyBorder="1" applyAlignment="1">
      <alignment horizontal="left" vertical="top" wrapText="1"/>
    </xf>
    <xf numFmtId="0" fontId="78" fillId="0" borderId="10" xfId="0" applyFont="1" applyBorder="1" applyAlignment="1">
      <alignment vertical="top" wrapText="1"/>
    </xf>
    <xf numFmtId="0" fontId="18" fillId="33" borderId="14" xfId="0" applyFont="1" applyFill="1" applyBorder="1" applyAlignment="1" applyProtection="1">
      <alignment horizontal="left" vertical="top" wrapText="1"/>
      <protection/>
    </xf>
    <xf numFmtId="0" fontId="18" fillId="33" borderId="12" xfId="0" applyFont="1" applyFill="1" applyBorder="1" applyAlignment="1" applyProtection="1">
      <alignment horizontal="left" vertical="top" wrapText="1"/>
      <protection/>
    </xf>
    <xf numFmtId="0" fontId="18" fillId="33" borderId="13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center" vertical="top" wrapText="1"/>
      <protection/>
    </xf>
    <xf numFmtId="0" fontId="18" fillId="44" borderId="14" xfId="0" applyFont="1" applyFill="1" applyBorder="1" applyAlignment="1">
      <alignment horizontal="left" vertical="top" wrapText="1"/>
    </xf>
    <xf numFmtId="0" fontId="18" fillId="44" borderId="13" xfId="0" applyFont="1" applyFill="1" applyBorder="1" applyAlignment="1">
      <alignment horizontal="left" vertical="top" wrapText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17" fontId="1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10" xfId="0" applyFont="1" applyFill="1" applyBorder="1" applyAlignment="1" applyProtection="1">
      <alignment horizontal="left" vertical="center" wrapText="1"/>
      <protection locked="0"/>
    </xf>
    <xf numFmtId="0" fontId="16" fillId="33" borderId="14" xfId="0" applyFont="1" applyFill="1" applyBorder="1" applyAlignment="1" applyProtection="1">
      <alignment horizontal="left" vertical="center" wrapText="1"/>
      <protection locked="0"/>
    </xf>
    <xf numFmtId="0" fontId="23" fillId="39" borderId="14" xfId="0" applyFont="1" applyFill="1" applyBorder="1" applyAlignment="1" applyProtection="1">
      <alignment horizontal="center" vertical="top" wrapText="1"/>
      <protection/>
    </xf>
    <xf numFmtId="0" fontId="23" fillId="39" borderId="12" xfId="0" applyFont="1" applyFill="1" applyBorder="1" applyAlignment="1" applyProtection="1">
      <alignment horizontal="center" vertical="top" wrapText="1"/>
      <protection/>
    </xf>
    <xf numFmtId="0" fontId="23" fillId="39" borderId="13" xfId="0" applyFont="1" applyFill="1" applyBorder="1" applyAlignment="1" applyProtection="1">
      <alignment horizontal="center" vertical="top" wrapText="1"/>
      <protection/>
    </xf>
    <xf numFmtId="0" fontId="23" fillId="39" borderId="14" xfId="0" applyFont="1" applyFill="1" applyBorder="1" applyAlignment="1" applyProtection="1">
      <alignment horizontal="center"/>
      <protection/>
    </xf>
    <xf numFmtId="0" fontId="23" fillId="39" borderId="13" xfId="0" applyFont="1" applyFill="1" applyBorder="1" applyAlignment="1" applyProtection="1">
      <alignment horizontal="center"/>
      <protection/>
    </xf>
    <xf numFmtId="0" fontId="23" fillId="39" borderId="22" xfId="0" applyFont="1" applyFill="1" applyBorder="1" applyAlignment="1" applyProtection="1">
      <alignment horizontal="center" vertical="top" wrapText="1"/>
      <protection/>
    </xf>
    <xf numFmtId="0" fontId="23" fillId="39" borderId="23" xfId="0" applyFont="1" applyFill="1" applyBorder="1" applyAlignment="1" applyProtection="1">
      <alignment horizontal="center" vertical="top" wrapText="1"/>
      <protection/>
    </xf>
    <xf numFmtId="0" fontId="5" fillId="45" borderId="10" xfId="0" applyFont="1" applyFill="1" applyBorder="1" applyAlignment="1" applyProtection="1">
      <alignment horizontal="center" vertical="center" wrapText="1"/>
      <protection/>
    </xf>
    <xf numFmtId="0" fontId="23" fillId="39" borderId="16" xfId="0" applyFont="1" applyFill="1" applyBorder="1" applyAlignment="1" applyProtection="1">
      <alignment horizontal="center" vertical="top" wrapText="1"/>
      <protection/>
    </xf>
    <xf numFmtId="0" fontId="23" fillId="39" borderId="11" xfId="0" applyFont="1" applyFill="1" applyBorder="1" applyAlignment="1" applyProtection="1">
      <alignment horizontal="center" vertical="top" wrapText="1"/>
      <protection/>
    </xf>
    <xf numFmtId="0" fontId="22" fillId="33" borderId="14" xfId="0" applyFont="1" applyFill="1" applyBorder="1" applyAlignment="1" applyProtection="1">
      <alignment horizontal="left" vertical="center"/>
      <protection/>
    </xf>
    <xf numFmtId="0" fontId="22" fillId="33" borderId="12" xfId="0" applyFont="1" applyFill="1" applyBorder="1" applyAlignment="1" applyProtection="1">
      <alignment horizontal="left" vertical="center"/>
      <protection/>
    </xf>
    <xf numFmtId="0" fontId="22" fillId="33" borderId="13" xfId="0" applyFont="1" applyFill="1" applyBorder="1" applyAlignment="1" applyProtection="1">
      <alignment horizontal="left" vertical="center"/>
      <protection/>
    </xf>
    <xf numFmtId="0" fontId="22" fillId="33" borderId="14" xfId="0" applyFont="1" applyFill="1" applyBorder="1" applyAlignment="1" applyProtection="1">
      <alignment horizontal="left" vertical="center" wrapText="1"/>
      <protection/>
    </xf>
    <xf numFmtId="0" fontId="22" fillId="33" borderId="12" xfId="0" applyFont="1" applyFill="1" applyBorder="1" applyAlignment="1" applyProtection="1">
      <alignment horizontal="left" vertical="center" wrapText="1"/>
      <protection/>
    </xf>
    <xf numFmtId="0" fontId="22" fillId="33" borderId="13" xfId="0" applyFont="1" applyFill="1" applyBorder="1" applyAlignment="1" applyProtection="1">
      <alignment horizontal="left" vertical="center" wrapText="1"/>
      <protection/>
    </xf>
    <xf numFmtId="0" fontId="23" fillId="39" borderId="10" xfId="0" applyFont="1" applyFill="1" applyBorder="1" applyAlignment="1" applyProtection="1">
      <alignment horizontal="center" vertical="top" wrapText="1"/>
      <protection/>
    </xf>
    <xf numFmtId="0" fontId="23" fillId="39" borderId="18" xfId="0" applyFont="1" applyFill="1" applyBorder="1" applyAlignment="1" applyProtection="1">
      <alignment horizontal="center" vertical="top" wrapText="1"/>
      <protection/>
    </xf>
    <xf numFmtId="0" fontId="23" fillId="39" borderId="20" xfId="0" applyFont="1" applyFill="1" applyBorder="1" applyAlignment="1" applyProtection="1">
      <alignment horizontal="center" vertical="top" wrapText="1"/>
      <protection/>
    </xf>
    <xf numFmtId="0" fontId="22" fillId="38" borderId="14" xfId="0" applyFont="1" applyFill="1" applyBorder="1" applyAlignment="1" applyProtection="1">
      <alignment horizontal="left" vertical="center" wrapText="1"/>
      <protection/>
    </xf>
    <xf numFmtId="0" fontId="22" fillId="38" borderId="13" xfId="0" applyFont="1" applyFill="1" applyBorder="1" applyAlignment="1" applyProtection="1">
      <alignment horizontal="left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16" fillId="33" borderId="11" xfId="0" applyFont="1" applyFill="1" applyBorder="1" applyAlignment="1" applyProtection="1">
      <alignment horizontal="left" vertical="center" wrapText="1"/>
      <protection locked="0"/>
    </xf>
    <xf numFmtId="0" fontId="22" fillId="38" borderId="1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5" fillId="45" borderId="10" xfId="0" applyFont="1" applyFill="1" applyBorder="1" applyAlignment="1" applyProtection="1">
      <alignment horizontal="center" vertical="center" wrapText="1"/>
      <protection locked="0"/>
    </xf>
    <xf numFmtId="0" fontId="23" fillId="39" borderId="16" xfId="0" applyFont="1" applyFill="1" applyBorder="1" applyAlignment="1" applyProtection="1">
      <alignment horizontal="center" vertical="top" wrapText="1"/>
      <protection locked="0"/>
    </xf>
    <xf numFmtId="0" fontId="23" fillId="39" borderId="11" xfId="0" applyFont="1" applyFill="1" applyBorder="1" applyAlignment="1" applyProtection="1">
      <alignment horizontal="center" vertical="top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3" fillId="39" borderId="14" xfId="0" applyFont="1" applyFill="1" applyBorder="1" applyAlignment="1" applyProtection="1">
      <alignment horizontal="center" vertical="top" wrapText="1"/>
      <protection locked="0"/>
    </xf>
    <xf numFmtId="0" fontId="23" fillId="39" borderId="13" xfId="0" applyFont="1" applyFill="1" applyBorder="1" applyAlignment="1" applyProtection="1">
      <alignment horizontal="center" vertical="top" wrapText="1"/>
      <protection locked="0"/>
    </xf>
    <xf numFmtId="0" fontId="23" fillId="39" borderId="10" xfId="0" applyFont="1" applyFill="1" applyBorder="1" applyAlignment="1" applyProtection="1">
      <alignment horizontal="center" vertical="top" wrapText="1"/>
      <protection locked="0"/>
    </xf>
    <xf numFmtId="0" fontId="23" fillId="39" borderId="12" xfId="0" applyFont="1" applyFill="1" applyBorder="1" applyAlignment="1" applyProtection="1">
      <alignment horizontal="center" vertical="top" wrapText="1"/>
      <protection locked="0"/>
    </xf>
    <xf numFmtId="0" fontId="73" fillId="12" borderId="10" xfId="0" applyFont="1" applyFill="1" applyBorder="1" applyAlignment="1">
      <alignment horizontal="center" vertical="top" wrapText="1"/>
    </xf>
    <xf numFmtId="0" fontId="74" fillId="10" borderId="10" xfId="0" applyFont="1" applyFill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left" vertical="top" wrapText="1"/>
    </xf>
    <xf numFmtId="0" fontId="74" fillId="0" borderId="10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left" vertical="top" wrapText="1"/>
    </xf>
    <xf numFmtId="0" fontId="80" fillId="0" borderId="10" xfId="0" applyFont="1" applyBorder="1" applyAlignment="1">
      <alignment horizontal="left" vertical="top" wrapText="1"/>
    </xf>
    <xf numFmtId="0" fontId="80" fillId="43" borderId="16" xfId="0" applyFont="1" applyFill="1" applyBorder="1" applyAlignment="1">
      <alignment horizontal="left" vertical="top" wrapText="1"/>
    </xf>
    <xf numFmtId="0" fontId="80" fillId="43" borderId="37" xfId="0" applyFont="1" applyFill="1" applyBorder="1" applyAlignment="1">
      <alignment horizontal="left" vertical="top" wrapText="1"/>
    </xf>
    <xf numFmtId="0" fontId="80" fillId="43" borderId="11" xfId="0" applyFont="1" applyFill="1" applyBorder="1" applyAlignment="1">
      <alignment horizontal="left" vertical="top" wrapText="1"/>
    </xf>
    <xf numFmtId="0" fontId="73" fillId="43" borderId="10" xfId="0" applyFont="1" applyFill="1" applyBorder="1" applyAlignment="1">
      <alignment horizontal="left" vertical="top" wrapText="1"/>
    </xf>
    <xf numFmtId="0" fontId="73" fillId="43" borderId="16" xfId="0" applyFont="1" applyFill="1" applyBorder="1" applyAlignment="1">
      <alignment horizontal="left" vertical="top" wrapText="1"/>
    </xf>
    <xf numFmtId="0" fontId="73" fillId="43" borderId="37" xfId="0" applyFont="1" applyFill="1" applyBorder="1" applyAlignment="1">
      <alignment horizontal="left" vertical="top" wrapText="1"/>
    </xf>
    <xf numFmtId="0" fontId="73" fillId="43" borderId="11" xfId="0" applyFont="1" applyFill="1" applyBorder="1" applyAlignment="1">
      <alignment horizontal="left" vertical="top" wrapText="1"/>
    </xf>
    <xf numFmtId="0" fontId="73" fillId="0" borderId="16" xfId="0" applyFont="1" applyBorder="1" applyAlignment="1">
      <alignment horizontal="left" vertical="top" wrapText="1"/>
    </xf>
    <xf numFmtId="0" fontId="73" fillId="0" borderId="37" xfId="0" applyFont="1" applyBorder="1" applyAlignment="1">
      <alignment horizontal="left" vertical="top" wrapText="1"/>
    </xf>
    <xf numFmtId="0" fontId="73" fillId="0" borderId="11" xfId="0" applyFont="1" applyBorder="1" applyAlignment="1">
      <alignment horizontal="left" vertical="top" wrapText="1"/>
    </xf>
    <xf numFmtId="0" fontId="72" fillId="42" borderId="16" xfId="0" applyFont="1" applyFill="1" applyBorder="1" applyAlignment="1" applyProtection="1">
      <alignment horizontal="center" vertical="top" wrapText="1"/>
      <protection/>
    </xf>
    <xf numFmtId="0" fontId="72" fillId="42" borderId="11" xfId="0" applyFont="1" applyFill="1" applyBorder="1" applyAlignment="1" applyProtection="1">
      <alignment horizontal="center" vertical="top" wrapText="1"/>
      <protection/>
    </xf>
    <xf numFmtId="0" fontId="9" fillId="42" borderId="15" xfId="0" applyFont="1" applyFill="1" applyBorder="1" applyAlignment="1" applyProtection="1">
      <alignment horizontal="center"/>
      <protection/>
    </xf>
    <xf numFmtId="0" fontId="9" fillId="42" borderId="0" xfId="0" applyFont="1" applyFill="1" applyBorder="1" applyAlignment="1" applyProtection="1">
      <alignment horizontal="center"/>
      <protection/>
    </xf>
    <xf numFmtId="0" fontId="9" fillId="42" borderId="35" xfId="0" applyFont="1" applyFill="1" applyBorder="1" applyAlignment="1" applyProtection="1">
      <alignment horizontal="center"/>
      <protection/>
    </xf>
    <xf numFmtId="0" fontId="9" fillId="42" borderId="15" xfId="0" applyFont="1" applyFill="1" applyBorder="1" applyAlignment="1" applyProtection="1">
      <alignment horizontal="left"/>
      <protection/>
    </xf>
    <xf numFmtId="0" fontId="9" fillId="42" borderId="0" xfId="0" applyFont="1" applyFill="1" applyBorder="1" applyAlignment="1" applyProtection="1">
      <alignment horizontal="left"/>
      <protection/>
    </xf>
    <xf numFmtId="0" fontId="9" fillId="42" borderId="22" xfId="0" applyFont="1" applyFill="1" applyBorder="1" applyAlignment="1" applyProtection="1">
      <alignment horizontal="center"/>
      <protection/>
    </xf>
    <xf numFmtId="0" fontId="9" fillId="42" borderId="17" xfId="0" applyFont="1" applyFill="1" applyBorder="1" applyAlignment="1" applyProtection="1">
      <alignment horizontal="center"/>
      <protection/>
    </xf>
    <xf numFmtId="0" fontId="9" fillId="42" borderId="23" xfId="0" applyFont="1" applyFill="1" applyBorder="1" applyAlignment="1" applyProtection="1">
      <alignment horizontal="center"/>
      <protection/>
    </xf>
    <xf numFmtId="0" fontId="4" fillId="42" borderId="10" xfId="0" applyFont="1" applyFill="1" applyBorder="1" applyAlignment="1" applyProtection="1">
      <alignment horizontal="right"/>
      <protection/>
    </xf>
    <xf numFmtId="0" fontId="6" fillId="42" borderId="15" xfId="0" applyFont="1" applyFill="1" applyBorder="1" applyAlignment="1" applyProtection="1">
      <alignment horizontal="center" vertical="center" wrapText="1"/>
      <protection/>
    </xf>
    <xf numFmtId="0" fontId="6" fillId="42" borderId="0" xfId="0" applyFont="1" applyFill="1" applyBorder="1" applyAlignment="1" applyProtection="1">
      <alignment horizontal="center" vertical="center"/>
      <protection/>
    </xf>
    <xf numFmtId="0" fontId="6" fillId="42" borderId="15" xfId="0" applyFont="1" applyFill="1" applyBorder="1" applyAlignment="1" applyProtection="1">
      <alignment horizontal="center" vertical="center"/>
      <protection/>
    </xf>
    <xf numFmtId="0" fontId="6" fillId="42" borderId="35" xfId="0" applyFont="1" applyFill="1" applyBorder="1" applyAlignment="1" applyProtection="1">
      <alignment horizontal="center" vertical="center"/>
      <protection/>
    </xf>
    <xf numFmtId="0" fontId="6" fillId="42" borderId="14" xfId="0" applyFont="1" applyFill="1" applyBorder="1" applyAlignment="1" applyProtection="1">
      <alignment horizontal="right" vertical="top" wrapText="1"/>
      <protection/>
    </xf>
    <xf numFmtId="0" fontId="6" fillId="42" borderId="12" xfId="0" applyFont="1" applyFill="1" applyBorder="1" applyAlignment="1" applyProtection="1">
      <alignment horizontal="right" vertical="top" wrapText="1"/>
      <protection/>
    </xf>
    <xf numFmtId="0" fontId="6" fillId="42" borderId="13" xfId="0" applyFont="1" applyFill="1" applyBorder="1" applyAlignment="1" applyProtection="1">
      <alignment horizontal="right" vertical="top" wrapText="1"/>
      <protection/>
    </xf>
    <xf numFmtId="0" fontId="6" fillId="42" borderId="18" xfId="0" applyFont="1" applyFill="1" applyBorder="1" applyAlignment="1" applyProtection="1">
      <alignment horizontal="center" vertical="top" wrapText="1"/>
      <protection/>
    </xf>
    <xf numFmtId="0" fontId="6" fillId="42" borderId="21" xfId="0" applyFont="1" applyFill="1" applyBorder="1" applyAlignment="1" applyProtection="1">
      <alignment horizontal="center" vertical="top" wrapText="1"/>
      <protection/>
    </xf>
    <xf numFmtId="0" fontId="6" fillId="42" borderId="22" xfId="0" applyFont="1" applyFill="1" applyBorder="1" applyAlignment="1" applyProtection="1">
      <alignment horizontal="center" vertical="top" wrapText="1"/>
      <protection/>
    </xf>
    <xf numFmtId="0" fontId="6" fillId="42" borderId="23" xfId="0" applyFont="1" applyFill="1" applyBorder="1" applyAlignment="1" applyProtection="1">
      <alignment horizontal="center" vertical="top" wrapText="1"/>
      <protection/>
    </xf>
    <xf numFmtId="0" fontId="6" fillId="42" borderId="14" xfId="0" applyFont="1" applyFill="1" applyBorder="1" applyAlignment="1" applyProtection="1">
      <alignment horizontal="center" vertical="center" wrapText="1"/>
      <protection/>
    </xf>
    <xf numFmtId="0" fontId="6" fillId="42" borderId="12" xfId="0" applyFont="1" applyFill="1" applyBorder="1" applyAlignment="1" applyProtection="1">
      <alignment horizontal="center" vertical="center" wrapText="1"/>
      <protection/>
    </xf>
    <xf numFmtId="0" fontId="6" fillId="42" borderId="13" xfId="0" applyFont="1" applyFill="1" applyBorder="1" applyAlignment="1" applyProtection="1">
      <alignment horizontal="center" vertical="center" wrapText="1"/>
      <protection/>
    </xf>
    <xf numFmtId="0" fontId="6" fillId="42" borderId="20" xfId="0" applyFont="1" applyFill="1" applyBorder="1" applyAlignment="1" applyProtection="1">
      <alignment horizontal="center" vertical="top" wrapText="1"/>
      <protection/>
    </xf>
    <xf numFmtId="0" fontId="6" fillId="42" borderId="17" xfId="0" applyFont="1" applyFill="1" applyBorder="1" applyAlignment="1" applyProtection="1">
      <alignment horizontal="center" vertical="top" wrapText="1"/>
      <protection/>
    </xf>
    <xf numFmtId="0" fontId="6" fillId="42" borderId="10" xfId="0" applyFont="1" applyFill="1" applyBorder="1" applyAlignment="1" applyProtection="1">
      <alignment horizontal="center" vertical="top"/>
      <protection/>
    </xf>
    <xf numFmtId="0" fontId="6" fillId="42" borderId="10" xfId="0" applyFont="1" applyFill="1" applyBorder="1" applyAlignment="1" applyProtection="1">
      <alignment horizontal="center"/>
      <protection/>
    </xf>
    <xf numFmtId="0" fontId="6" fillId="42" borderId="14" xfId="0" applyFont="1" applyFill="1" applyBorder="1" applyAlignment="1" applyProtection="1">
      <alignment horizontal="center"/>
      <protection/>
    </xf>
    <xf numFmtId="0" fontId="6" fillId="42" borderId="12" xfId="0" applyFont="1" applyFill="1" applyBorder="1" applyAlignment="1" applyProtection="1">
      <alignment horizontal="center"/>
      <protection/>
    </xf>
    <xf numFmtId="0" fontId="6" fillId="42" borderId="13" xfId="0" applyFont="1" applyFill="1" applyBorder="1" applyAlignment="1" applyProtection="1">
      <alignment horizontal="center"/>
      <protection/>
    </xf>
    <xf numFmtId="0" fontId="2" fillId="42" borderId="0" xfId="0" applyFont="1" applyFill="1" applyAlignment="1" applyProtection="1">
      <alignment horizontal="center"/>
      <protection/>
    </xf>
    <xf numFmtId="0" fontId="6" fillId="42" borderId="16" xfId="0" applyFont="1" applyFill="1" applyBorder="1" applyAlignment="1" applyProtection="1">
      <alignment horizontal="center" vertical="top" wrapText="1"/>
      <protection/>
    </xf>
    <xf numFmtId="0" fontId="6" fillId="42" borderId="11" xfId="0" applyFont="1" applyFill="1" applyBorder="1" applyAlignment="1" applyProtection="1">
      <alignment horizontal="center" vertical="top" wrapText="1"/>
      <protection/>
    </xf>
    <xf numFmtId="0" fontId="6" fillId="42" borderId="14" xfId="0" applyFont="1" applyFill="1" applyBorder="1" applyAlignment="1" applyProtection="1">
      <alignment horizontal="center" vertical="top" wrapText="1"/>
      <protection/>
    </xf>
    <xf numFmtId="0" fontId="6" fillId="42" borderId="12" xfId="0" applyFont="1" applyFill="1" applyBorder="1" applyAlignment="1" applyProtection="1">
      <alignment horizontal="center" vertical="top" wrapText="1"/>
      <protection/>
    </xf>
    <xf numFmtId="44" fontId="7" fillId="42" borderId="14" xfId="44" applyFont="1" applyFill="1" applyBorder="1" applyAlignment="1" applyProtection="1">
      <alignment horizontal="center" vertical="top" wrapText="1"/>
      <protection/>
    </xf>
    <xf numFmtId="44" fontId="7" fillId="42" borderId="12" xfId="44" applyFont="1" applyFill="1" applyBorder="1" applyAlignment="1" applyProtection="1">
      <alignment horizontal="center" vertical="top" wrapText="1"/>
      <protection/>
    </xf>
    <xf numFmtId="44" fontId="7" fillId="42" borderId="13" xfId="44" applyFont="1" applyFill="1" applyBorder="1" applyAlignment="1" applyProtection="1">
      <alignment horizontal="center" vertical="top" wrapText="1"/>
      <protection/>
    </xf>
    <xf numFmtId="0" fontId="8" fillId="42" borderId="16" xfId="0" applyFont="1" applyFill="1" applyBorder="1" applyAlignment="1" applyProtection="1">
      <alignment horizontal="center" vertical="top" wrapText="1"/>
      <protection/>
    </xf>
    <xf numFmtId="0" fontId="8" fillId="42" borderId="11" xfId="0" applyFont="1" applyFill="1" applyBorder="1" applyAlignment="1" applyProtection="1">
      <alignment horizontal="center" vertical="top"/>
      <protection/>
    </xf>
    <xf numFmtId="0" fontId="7" fillId="42" borderId="16" xfId="0" applyFont="1" applyFill="1" applyBorder="1" applyAlignment="1" applyProtection="1">
      <alignment horizontal="center" vertical="top" wrapText="1"/>
      <protection/>
    </xf>
    <xf numFmtId="0" fontId="7" fillId="42" borderId="11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35" xfId="0" applyFont="1" applyBorder="1" applyAlignment="1" applyProtection="1">
      <alignment horizontal="left"/>
      <protection/>
    </xf>
    <xf numFmtId="0" fontId="15" fillId="0" borderId="18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6" fillId="0" borderId="14" xfId="0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strike/>
        <color indexed="1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9.140625" style="0" customWidth="1"/>
  </cols>
  <sheetData>
    <row r="1" ht="12.75">
      <c r="A1" t="s">
        <v>801</v>
      </c>
    </row>
    <row r="2" ht="12.75">
      <c r="A2" t="s">
        <v>802</v>
      </c>
    </row>
    <row r="4" ht="12.75">
      <c r="A4" t="s">
        <v>803</v>
      </c>
    </row>
    <row r="5" ht="12.75">
      <c r="A5" t="s">
        <v>815</v>
      </c>
    </row>
    <row r="6" ht="12.75">
      <c r="A6" t="s">
        <v>816</v>
      </c>
    </row>
    <row r="7" ht="12.75">
      <c r="A7" t="s">
        <v>817</v>
      </c>
    </row>
    <row r="8" ht="12.75">
      <c r="A8" t="s">
        <v>818</v>
      </c>
    </row>
    <row r="9" ht="12.75">
      <c r="A9" t="s">
        <v>819</v>
      </c>
    </row>
    <row r="10" ht="12.75">
      <c r="A10" t="s">
        <v>820</v>
      </c>
    </row>
    <row r="11" ht="12.75">
      <c r="A11" t="s">
        <v>821</v>
      </c>
    </row>
    <row r="12" ht="12.75">
      <c r="A12" t="s">
        <v>822</v>
      </c>
    </row>
    <row r="13" ht="12.75">
      <c r="A13" t="s">
        <v>823</v>
      </c>
    </row>
    <row r="14" ht="12.75">
      <c r="A14" t="s">
        <v>804</v>
      </c>
    </row>
    <row r="15" ht="12.75">
      <c r="A15" t="s">
        <v>824</v>
      </c>
    </row>
    <row r="16" ht="12.75">
      <c r="A16" t="s">
        <v>805</v>
      </c>
    </row>
    <row r="17" ht="12.75">
      <c r="A17" t="s">
        <v>825</v>
      </c>
    </row>
    <row r="18" ht="12.75">
      <c r="A18" t="s">
        <v>806</v>
      </c>
    </row>
    <row r="19" ht="12.75">
      <c r="A19" t="s">
        <v>807</v>
      </c>
    </row>
    <row r="20" ht="12.75">
      <c r="A20" t="s">
        <v>808</v>
      </c>
    </row>
    <row r="21" ht="12.75">
      <c r="A21" t="s">
        <v>809</v>
      </c>
    </row>
    <row r="22" ht="12.75">
      <c r="A22" t="s">
        <v>810</v>
      </c>
    </row>
    <row r="23" ht="12.75">
      <c r="A23" t="s">
        <v>826</v>
      </c>
    </row>
    <row r="24" ht="12.75">
      <c r="A24" t="s">
        <v>415</v>
      </c>
    </row>
    <row r="25" ht="12.75">
      <c r="A25" t="s">
        <v>416</v>
      </c>
    </row>
    <row r="26" ht="12.75">
      <c r="A26" t="s">
        <v>417</v>
      </c>
    </row>
    <row r="27" ht="12.75">
      <c r="A27" t="s">
        <v>418</v>
      </c>
    </row>
    <row r="28" ht="12.75">
      <c r="A28" t="s">
        <v>419</v>
      </c>
    </row>
    <row r="29" ht="12.75">
      <c r="A29" t="s">
        <v>420</v>
      </c>
    </row>
    <row r="30" ht="12.75">
      <c r="A30" t="s">
        <v>421</v>
      </c>
    </row>
    <row r="31" ht="12.75">
      <c r="A31" t="s">
        <v>422</v>
      </c>
    </row>
    <row r="32" ht="12.75">
      <c r="A32" t="s">
        <v>423</v>
      </c>
    </row>
    <row r="33" ht="12.75">
      <c r="A33" t="s">
        <v>424</v>
      </c>
    </row>
    <row r="34" ht="12.75">
      <c r="A34" t="s">
        <v>425</v>
      </c>
    </row>
    <row r="35" ht="12.75">
      <c r="A35" t="s">
        <v>426</v>
      </c>
    </row>
    <row r="36" ht="12.75">
      <c r="A36" t="s">
        <v>427</v>
      </c>
    </row>
    <row r="37" ht="12.75">
      <c r="A37" t="s">
        <v>428</v>
      </c>
    </row>
    <row r="38" ht="12.75">
      <c r="A38" t="s">
        <v>429</v>
      </c>
    </row>
    <row r="39" ht="12.75">
      <c r="A39" t="s">
        <v>827</v>
      </c>
    </row>
    <row r="40" ht="12.75">
      <c r="A40" t="s">
        <v>443</v>
      </c>
    </row>
    <row r="41" ht="12.75">
      <c r="A41" t="s">
        <v>506</v>
      </c>
    </row>
    <row r="42" ht="12.75">
      <c r="A42" t="s">
        <v>828</v>
      </c>
    </row>
    <row r="43" ht="12.75">
      <c r="A43" t="s">
        <v>811</v>
      </c>
    </row>
    <row r="44" ht="12.75">
      <c r="A44" t="s">
        <v>812</v>
      </c>
    </row>
    <row r="45" ht="12.75">
      <c r="A45" t="s">
        <v>813</v>
      </c>
    </row>
    <row r="46" ht="12.75">
      <c r="A46" t="s">
        <v>829</v>
      </c>
    </row>
    <row r="47" ht="12.75">
      <c r="A47" t="s">
        <v>513</v>
      </c>
    </row>
    <row r="48" ht="12.75">
      <c r="A48" t="s">
        <v>830</v>
      </c>
    </row>
    <row r="49" ht="12.75">
      <c r="A49" t="s">
        <v>514</v>
      </c>
    </row>
    <row r="50" ht="12.75">
      <c r="A50" t="s">
        <v>831</v>
      </c>
    </row>
    <row r="51" ht="12.75">
      <c r="A51" t="s">
        <v>515</v>
      </c>
    </row>
    <row r="54" ht="12.75">
      <c r="A54" t="s">
        <v>814</v>
      </c>
    </row>
    <row r="55" ht="12.75">
      <c r="A55" t="s">
        <v>832</v>
      </c>
    </row>
    <row r="56" ht="12.75">
      <c r="A56" t="s">
        <v>833</v>
      </c>
    </row>
    <row r="57" ht="12.75">
      <c r="A57" t="s">
        <v>834</v>
      </c>
    </row>
    <row r="58" ht="12.75">
      <c r="A58" t="s">
        <v>835</v>
      </c>
    </row>
    <row r="59" ht="12.75">
      <c r="A59" t="s">
        <v>836</v>
      </c>
    </row>
    <row r="60" ht="12.75">
      <c r="A60" t="s">
        <v>837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1"/>
  <sheetViews>
    <sheetView zoomScale="115" zoomScaleNormal="115" zoomScalePageLayoutView="0" workbookViewId="0" topLeftCell="A63">
      <selection activeCell="E70" sqref="E70"/>
    </sheetView>
  </sheetViews>
  <sheetFormatPr defaultColWidth="9.140625" defaultRowHeight="12.75"/>
  <cols>
    <col min="1" max="1" width="12.28125" style="18" customWidth="1"/>
    <col min="2" max="2" width="49.00390625" style="18" customWidth="1"/>
    <col min="3" max="3" width="10.7109375" style="18" hidden="1" customWidth="1"/>
    <col min="4" max="4" width="16.28125" style="18" customWidth="1"/>
    <col min="5" max="5" width="10.7109375" style="18" customWidth="1"/>
    <col min="6" max="8" width="10.7109375" style="18" hidden="1" customWidth="1"/>
    <col min="9" max="9" width="11.00390625" style="18" customWidth="1"/>
    <col min="10" max="10" width="40.57421875" style="18" customWidth="1"/>
    <col min="11" max="11" width="18.57421875" style="18" customWidth="1"/>
    <col min="12" max="12" width="16.00390625" style="18" customWidth="1"/>
    <col min="13" max="16384" width="9.140625" style="18" customWidth="1"/>
  </cols>
  <sheetData>
    <row r="1" spans="2:6" ht="25.5" customHeight="1" hidden="1">
      <c r="B1" s="18" t="s">
        <v>0</v>
      </c>
      <c r="C1" s="18" t="s">
        <v>66</v>
      </c>
      <c r="D1" s="18" t="s">
        <v>67</v>
      </c>
      <c r="F1" s="18" t="s">
        <v>6</v>
      </c>
    </row>
    <row r="2" spans="2:6" ht="14.25" hidden="1">
      <c r="B2" s="61" t="s">
        <v>24</v>
      </c>
      <c r="C2" s="61">
        <v>35</v>
      </c>
      <c r="D2" s="18" t="s">
        <v>329</v>
      </c>
      <c r="E2" s="18" t="s">
        <v>14</v>
      </c>
      <c r="F2" s="18" t="s">
        <v>15</v>
      </c>
    </row>
    <row r="3" spans="2:6" ht="14.25" hidden="1">
      <c r="B3" s="61" t="s">
        <v>25</v>
      </c>
      <c r="C3" s="61">
        <v>35</v>
      </c>
      <c r="D3" s="18" t="s">
        <v>329</v>
      </c>
      <c r="E3" s="18" t="s">
        <v>14</v>
      </c>
      <c r="F3" s="18" t="s">
        <v>15</v>
      </c>
    </row>
    <row r="4" spans="2:6" ht="14.25" hidden="1">
      <c r="B4" s="61" t="s">
        <v>12</v>
      </c>
      <c r="C4" s="61">
        <v>35</v>
      </c>
      <c r="D4" s="18" t="s">
        <v>329</v>
      </c>
      <c r="E4" s="18" t="s">
        <v>14</v>
      </c>
      <c r="F4" s="18" t="s">
        <v>15</v>
      </c>
    </row>
    <row r="5" spans="2:6" ht="14.25" hidden="1">
      <c r="B5" s="61" t="s">
        <v>29</v>
      </c>
      <c r="C5" s="61">
        <v>35</v>
      </c>
      <c r="D5" s="18" t="s">
        <v>329</v>
      </c>
      <c r="E5" s="18" t="s">
        <v>14</v>
      </c>
      <c r="F5" s="18" t="s">
        <v>15</v>
      </c>
    </row>
    <row r="6" spans="2:6" ht="14.25" hidden="1">
      <c r="B6" s="61" t="s">
        <v>161</v>
      </c>
      <c r="C6" s="61">
        <v>30</v>
      </c>
      <c r="D6" s="18" t="s">
        <v>329</v>
      </c>
      <c r="E6" s="18" t="s">
        <v>14</v>
      </c>
      <c r="F6" s="18" t="s">
        <v>15</v>
      </c>
    </row>
    <row r="7" spans="2:6" ht="14.25" hidden="1">
      <c r="B7" s="61" t="s">
        <v>26</v>
      </c>
      <c r="C7" s="61">
        <v>20</v>
      </c>
      <c r="D7" s="18" t="s">
        <v>329</v>
      </c>
      <c r="E7" s="18" t="s">
        <v>14</v>
      </c>
      <c r="F7" s="18" t="s">
        <v>15</v>
      </c>
    </row>
    <row r="8" spans="2:6" ht="14.25" hidden="1">
      <c r="B8" s="61" t="s">
        <v>13</v>
      </c>
      <c r="C8" s="61">
        <v>20</v>
      </c>
      <c r="D8" s="18" t="s">
        <v>329</v>
      </c>
      <c r="E8" s="18" t="s">
        <v>14</v>
      </c>
      <c r="F8" s="18" t="s">
        <v>15</v>
      </c>
    </row>
    <row r="9" spans="2:6" ht="14.25" hidden="1">
      <c r="B9" s="61" t="s">
        <v>27</v>
      </c>
      <c r="C9" s="61">
        <v>20</v>
      </c>
      <c r="D9" s="18" t="s">
        <v>329</v>
      </c>
      <c r="E9" s="18" t="s">
        <v>14</v>
      </c>
      <c r="F9" s="18" t="s">
        <v>15</v>
      </c>
    </row>
    <row r="10" spans="2:6" ht="14.25" hidden="1">
      <c r="B10" s="61" t="s">
        <v>28</v>
      </c>
      <c r="C10" s="61">
        <v>20</v>
      </c>
      <c r="D10" s="18" t="s">
        <v>329</v>
      </c>
      <c r="E10" s="18" t="s">
        <v>14</v>
      </c>
      <c r="F10" s="18" t="s">
        <v>15</v>
      </c>
    </row>
    <row r="11" spans="2:6" ht="14.25" hidden="1">
      <c r="B11" s="61" t="s">
        <v>30</v>
      </c>
      <c r="C11" s="61">
        <v>20</v>
      </c>
      <c r="D11" s="18" t="s">
        <v>329</v>
      </c>
      <c r="E11" s="18" t="s">
        <v>14</v>
      </c>
      <c r="F11" s="18" t="s">
        <v>15</v>
      </c>
    </row>
    <row r="12" spans="2:6" ht="14.25" hidden="1">
      <c r="B12" s="61" t="s">
        <v>162</v>
      </c>
      <c r="C12" s="61">
        <v>20</v>
      </c>
      <c r="D12" s="18" t="s">
        <v>329</v>
      </c>
      <c r="E12" s="18" t="s">
        <v>14</v>
      </c>
      <c r="F12" s="18" t="s">
        <v>15</v>
      </c>
    </row>
    <row r="13" spans="2:6" ht="14.25" hidden="1">
      <c r="B13" s="61" t="s">
        <v>18</v>
      </c>
      <c r="C13" s="61">
        <v>10</v>
      </c>
      <c r="D13" s="18" t="s">
        <v>329</v>
      </c>
      <c r="E13" s="18" t="s">
        <v>14</v>
      </c>
      <c r="F13" s="18" t="s">
        <v>15</v>
      </c>
    </row>
    <row r="14" spans="2:6" ht="14.25" hidden="1">
      <c r="B14" s="61" t="s">
        <v>31</v>
      </c>
      <c r="C14" s="61">
        <v>10</v>
      </c>
      <c r="D14" s="18" t="s">
        <v>329</v>
      </c>
      <c r="E14" s="18" t="s">
        <v>14</v>
      </c>
      <c r="F14" s="18" t="s">
        <v>15</v>
      </c>
    </row>
    <row r="15" spans="2:6" ht="16.5" hidden="1">
      <c r="B15" s="72" t="s">
        <v>529</v>
      </c>
      <c r="C15" s="61">
        <v>10</v>
      </c>
      <c r="D15" s="18" t="s">
        <v>329</v>
      </c>
      <c r="E15" s="18" t="s">
        <v>14</v>
      </c>
      <c r="F15" s="18" t="s">
        <v>15</v>
      </c>
    </row>
    <row r="16" spans="2:6" ht="14.25" hidden="1">
      <c r="B16" s="61" t="s">
        <v>32</v>
      </c>
      <c r="C16" s="61">
        <v>10</v>
      </c>
      <c r="D16" s="18" t="s">
        <v>329</v>
      </c>
      <c r="E16" s="18" t="s">
        <v>14</v>
      </c>
      <c r="F16" s="18" t="s">
        <v>15</v>
      </c>
    </row>
    <row r="17" spans="2:6" ht="14.25" hidden="1">
      <c r="B17" s="61" t="s">
        <v>33</v>
      </c>
      <c r="C17" s="61">
        <v>10</v>
      </c>
      <c r="D17" s="18" t="s">
        <v>329</v>
      </c>
      <c r="E17" s="18" t="s">
        <v>14</v>
      </c>
      <c r="F17" s="18" t="s">
        <v>15</v>
      </c>
    </row>
    <row r="18" spans="2:6" ht="14.25" hidden="1">
      <c r="B18" s="61" t="s">
        <v>163</v>
      </c>
      <c r="C18" s="61">
        <v>10</v>
      </c>
      <c r="D18" s="18" t="s">
        <v>329</v>
      </c>
      <c r="E18" s="18" t="s">
        <v>14</v>
      </c>
      <c r="F18" s="18" t="s">
        <v>15</v>
      </c>
    </row>
    <row r="19" spans="2:6" ht="14.25" hidden="1">
      <c r="B19" s="61" t="s">
        <v>34</v>
      </c>
      <c r="C19" s="61">
        <v>6</v>
      </c>
      <c r="D19" s="18" t="s">
        <v>329</v>
      </c>
      <c r="E19" s="18" t="s">
        <v>14</v>
      </c>
      <c r="F19" s="18" t="s">
        <v>15</v>
      </c>
    </row>
    <row r="20" spans="2:6" ht="14.25" hidden="1">
      <c r="B20" s="61" t="s">
        <v>35</v>
      </c>
      <c r="C20" s="61">
        <v>6</v>
      </c>
      <c r="D20" s="18" t="s">
        <v>329</v>
      </c>
      <c r="E20" s="18" t="s">
        <v>14</v>
      </c>
      <c r="F20" s="18" t="s">
        <v>15</v>
      </c>
    </row>
    <row r="21" spans="2:6" ht="14.25" hidden="1">
      <c r="B21" s="61" t="s">
        <v>164</v>
      </c>
      <c r="C21" s="61">
        <v>6</v>
      </c>
      <c r="D21" s="18" t="s">
        <v>329</v>
      </c>
      <c r="E21" s="18" t="s">
        <v>14</v>
      </c>
      <c r="F21" s="18" t="s">
        <v>15</v>
      </c>
    </row>
    <row r="22" spans="2:6" ht="14.25" hidden="1">
      <c r="B22" s="61" t="s">
        <v>36</v>
      </c>
      <c r="C22" s="61">
        <v>6</v>
      </c>
      <c r="D22" s="18" t="s">
        <v>329</v>
      </c>
      <c r="E22" s="18" t="s">
        <v>14</v>
      </c>
      <c r="F22" s="18" t="s">
        <v>15</v>
      </c>
    </row>
    <row r="23" spans="2:6" ht="14.25" hidden="1">
      <c r="B23" s="61" t="s">
        <v>37</v>
      </c>
      <c r="C23" s="61">
        <v>6</v>
      </c>
      <c r="D23" s="18" t="s">
        <v>329</v>
      </c>
      <c r="E23" s="18" t="s">
        <v>14</v>
      </c>
      <c r="F23" s="18" t="s">
        <v>15</v>
      </c>
    </row>
    <row r="24" spans="2:6" ht="14.25" hidden="1">
      <c r="B24" s="61" t="s">
        <v>165</v>
      </c>
      <c r="C24" s="61">
        <v>6</v>
      </c>
      <c r="D24" s="18" t="s">
        <v>329</v>
      </c>
      <c r="E24" s="18" t="s">
        <v>14</v>
      </c>
      <c r="F24" s="18" t="s">
        <v>15</v>
      </c>
    </row>
    <row r="25" spans="2:6" ht="14.25" hidden="1">
      <c r="B25" s="61" t="s">
        <v>38</v>
      </c>
      <c r="C25" s="61">
        <v>2</v>
      </c>
      <c r="D25" s="18" t="s">
        <v>329</v>
      </c>
      <c r="E25" s="18" t="s">
        <v>14</v>
      </c>
      <c r="F25" s="18" t="s">
        <v>15</v>
      </c>
    </row>
    <row r="26" spans="2:6" ht="14.25" hidden="1">
      <c r="B26" s="61" t="s">
        <v>39</v>
      </c>
      <c r="C26" s="61">
        <v>1.5</v>
      </c>
      <c r="D26" s="18" t="s">
        <v>329</v>
      </c>
      <c r="E26" s="18" t="s">
        <v>14</v>
      </c>
      <c r="F26" s="18" t="s">
        <v>15</v>
      </c>
    </row>
    <row r="27" spans="2:6" ht="14.25" hidden="1">
      <c r="B27" s="61" t="s">
        <v>40</v>
      </c>
      <c r="C27" s="61">
        <v>1.5</v>
      </c>
      <c r="D27" s="18" t="s">
        <v>329</v>
      </c>
      <c r="E27" s="18" t="s">
        <v>14</v>
      </c>
      <c r="F27" s="18" t="s">
        <v>15</v>
      </c>
    </row>
    <row r="28" spans="2:6" ht="14.25" hidden="1">
      <c r="B28" s="61" t="s">
        <v>41</v>
      </c>
      <c r="C28" s="61">
        <v>1</v>
      </c>
      <c r="D28" s="18" t="s">
        <v>329</v>
      </c>
      <c r="E28" s="18" t="s">
        <v>14</v>
      </c>
      <c r="F28" s="18" t="s">
        <v>15</v>
      </c>
    </row>
    <row r="29" spans="2:6" ht="14.25" hidden="1">
      <c r="B29" s="61" t="s">
        <v>42</v>
      </c>
      <c r="C29" s="61">
        <v>1</v>
      </c>
      <c r="D29" s="18" t="s">
        <v>314</v>
      </c>
      <c r="E29" s="18" t="s">
        <v>65</v>
      </c>
      <c r="F29" s="18" t="s">
        <v>2</v>
      </c>
    </row>
    <row r="30" spans="2:6" ht="14.25" hidden="1">
      <c r="B30" s="61" t="s">
        <v>43</v>
      </c>
      <c r="C30" s="61">
        <v>2</v>
      </c>
      <c r="D30" s="18" t="s">
        <v>314</v>
      </c>
      <c r="E30" s="18" t="s">
        <v>65</v>
      </c>
      <c r="F30" s="18" t="s">
        <v>2</v>
      </c>
    </row>
    <row r="31" spans="2:6" ht="14.25" hidden="1">
      <c r="B31" s="61" t="s">
        <v>44</v>
      </c>
      <c r="C31" s="61">
        <v>1.5</v>
      </c>
      <c r="D31" s="18" t="s">
        <v>314</v>
      </c>
      <c r="E31" s="18" t="s">
        <v>65</v>
      </c>
      <c r="F31" s="18" t="s">
        <v>2</v>
      </c>
    </row>
    <row r="32" spans="2:6" ht="14.25" hidden="1">
      <c r="B32" s="61" t="s">
        <v>45</v>
      </c>
      <c r="C32" s="61">
        <v>1.5</v>
      </c>
      <c r="D32" s="18" t="s">
        <v>314</v>
      </c>
      <c r="E32" s="18" t="s">
        <v>65</v>
      </c>
      <c r="F32" s="18" t="s">
        <v>2</v>
      </c>
    </row>
    <row r="33" spans="2:6" ht="14.25" hidden="1">
      <c r="B33" s="61" t="s">
        <v>46</v>
      </c>
      <c r="C33" s="61">
        <v>1</v>
      </c>
      <c r="D33" s="18" t="s">
        <v>314</v>
      </c>
      <c r="E33" s="18" t="s">
        <v>65</v>
      </c>
      <c r="F33" s="18" t="s">
        <v>2</v>
      </c>
    </row>
    <row r="34" spans="2:6" ht="14.25" hidden="1">
      <c r="B34" s="61" t="s">
        <v>47</v>
      </c>
      <c r="C34" s="61">
        <v>2</v>
      </c>
      <c r="D34" s="18" t="s">
        <v>314</v>
      </c>
      <c r="E34" s="18" t="s">
        <v>65</v>
      </c>
      <c r="F34" s="18" t="s">
        <v>2</v>
      </c>
    </row>
    <row r="35" spans="2:6" ht="14.25" hidden="1">
      <c r="B35" s="61" t="s">
        <v>48</v>
      </c>
      <c r="C35" s="61">
        <v>1.5</v>
      </c>
      <c r="D35" s="18" t="s">
        <v>314</v>
      </c>
      <c r="E35" s="18" t="s">
        <v>65</v>
      </c>
      <c r="F35" s="18" t="s">
        <v>2</v>
      </c>
    </row>
    <row r="36" spans="2:6" ht="14.25" hidden="1">
      <c r="B36" s="61" t="s">
        <v>49</v>
      </c>
      <c r="C36" s="61">
        <v>1</v>
      </c>
      <c r="D36" s="18" t="s">
        <v>314</v>
      </c>
      <c r="E36" s="18" t="s">
        <v>65</v>
      </c>
      <c r="F36" s="18" t="s">
        <v>2</v>
      </c>
    </row>
    <row r="37" spans="2:6" ht="14.25" hidden="1">
      <c r="B37" s="61" t="s">
        <v>50</v>
      </c>
      <c r="C37" s="61">
        <v>4</v>
      </c>
      <c r="D37" s="18" t="s">
        <v>314</v>
      </c>
      <c r="E37" s="18" t="s">
        <v>65</v>
      </c>
      <c r="F37" s="18" t="s">
        <v>2</v>
      </c>
    </row>
    <row r="38" spans="2:6" ht="14.25" hidden="1">
      <c r="B38" s="61" t="s">
        <v>51</v>
      </c>
      <c r="C38" s="61">
        <v>3</v>
      </c>
      <c r="D38" s="18" t="s">
        <v>314</v>
      </c>
      <c r="E38" s="18" t="s">
        <v>65</v>
      </c>
      <c r="F38" s="18" t="s">
        <v>2</v>
      </c>
    </row>
    <row r="39" spans="2:6" ht="14.25" hidden="1">
      <c r="B39" s="61" t="s">
        <v>52</v>
      </c>
      <c r="C39" s="61">
        <v>2</v>
      </c>
      <c r="D39" s="18" t="s">
        <v>314</v>
      </c>
      <c r="E39" s="18" t="s">
        <v>65</v>
      </c>
      <c r="F39" s="18" t="s">
        <v>2</v>
      </c>
    </row>
    <row r="40" spans="2:6" ht="14.25" hidden="1">
      <c r="B40" s="61" t="s">
        <v>53</v>
      </c>
      <c r="C40" s="61">
        <v>6</v>
      </c>
      <c r="D40" s="18" t="s">
        <v>314</v>
      </c>
      <c r="E40" s="18" t="s">
        <v>65</v>
      </c>
      <c r="F40" s="18" t="s">
        <v>2</v>
      </c>
    </row>
    <row r="41" spans="2:6" ht="14.25" hidden="1">
      <c r="B41" s="61" t="s">
        <v>54</v>
      </c>
      <c r="C41" s="61">
        <v>4</v>
      </c>
      <c r="D41" s="18" t="s">
        <v>314</v>
      </c>
      <c r="E41" s="18" t="s">
        <v>65</v>
      </c>
      <c r="F41" s="18" t="s">
        <v>2</v>
      </c>
    </row>
    <row r="42" spans="2:6" ht="14.25" hidden="1">
      <c r="B42" s="61" t="s">
        <v>55</v>
      </c>
      <c r="C42" s="61">
        <v>3</v>
      </c>
      <c r="D42" s="18" t="s">
        <v>314</v>
      </c>
      <c r="E42" s="18" t="s">
        <v>65</v>
      </c>
      <c r="F42" s="18" t="s">
        <v>2</v>
      </c>
    </row>
    <row r="43" spans="2:6" ht="14.25" hidden="1">
      <c r="B43" s="61" t="s">
        <v>56</v>
      </c>
      <c r="C43" s="61">
        <v>1</v>
      </c>
      <c r="D43" s="18" t="s">
        <v>314</v>
      </c>
      <c r="E43" s="18" t="s">
        <v>65</v>
      </c>
      <c r="F43" s="18" t="s">
        <v>2</v>
      </c>
    </row>
    <row r="44" spans="2:6" ht="14.25" hidden="1">
      <c r="B44" s="61" t="s">
        <v>57</v>
      </c>
      <c r="C44" s="61">
        <v>1</v>
      </c>
      <c r="D44" s="18" t="s">
        <v>314</v>
      </c>
      <c r="E44" s="18" t="s">
        <v>65</v>
      </c>
      <c r="F44" s="18" t="s">
        <v>2</v>
      </c>
    </row>
    <row r="45" spans="2:6" ht="14.25" hidden="1">
      <c r="B45" s="61" t="s">
        <v>58</v>
      </c>
      <c r="C45" s="61">
        <v>1</v>
      </c>
      <c r="D45" s="18" t="s">
        <v>314</v>
      </c>
      <c r="E45" s="18" t="s">
        <v>65</v>
      </c>
      <c r="F45" s="18" t="s">
        <v>2</v>
      </c>
    </row>
    <row r="46" spans="2:6" ht="14.25" hidden="1">
      <c r="B46" s="61" t="s">
        <v>59</v>
      </c>
      <c r="C46" s="61">
        <v>1.5</v>
      </c>
      <c r="D46" s="18" t="s">
        <v>314</v>
      </c>
      <c r="E46" s="18" t="s">
        <v>65</v>
      </c>
      <c r="F46" s="18" t="s">
        <v>2</v>
      </c>
    </row>
    <row r="47" spans="2:6" ht="14.25" hidden="1">
      <c r="B47" s="61" t="s">
        <v>60</v>
      </c>
      <c r="C47" s="61">
        <v>1.5</v>
      </c>
      <c r="D47" s="18" t="s">
        <v>314</v>
      </c>
      <c r="E47" s="18" t="s">
        <v>65</v>
      </c>
      <c r="F47" s="18" t="s">
        <v>2</v>
      </c>
    </row>
    <row r="48" spans="2:6" ht="14.25" hidden="1">
      <c r="B48" s="61" t="s">
        <v>61</v>
      </c>
      <c r="C48" s="61">
        <v>1.5</v>
      </c>
      <c r="D48" s="18" t="s">
        <v>314</v>
      </c>
      <c r="E48" s="18" t="s">
        <v>65</v>
      </c>
      <c r="F48" s="18" t="s">
        <v>2</v>
      </c>
    </row>
    <row r="49" spans="2:6" ht="14.25" hidden="1">
      <c r="B49" s="61" t="s">
        <v>62</v>
      </c>
      <c r="C49" s="61">
        <v>2</v>
      </c>
      <c r="D49" s="18" t="s">
        <v>314</v>
      </c>
      <c r="E49" s="18" t="s">
        <v>65</v>
      </c>
      <c r="F49" s="18" t="s">
        <v>2</v>
      </c>
    </row>
    <row r="50" spans="2:6" ht="14.25" hidden="1">
      <c r="B50" s="61" t="s">
        <v>63</v>
      </c>
      <c r="C50" s="61">
        <v>2</v>
      </c>
      <c r="D50" s="18" t="s">
        <v>314</v>
      </c>
      <c r="E50" s="18" t="s">
        <v>65</v>
      </c>
      <c r="F50" s="18" t="s">
        <v>2</v>
      </c>
    </row>
    <row r="51" spans="2:6" ht="14.25" hidden="1">
      <c r="B51" s="61" t="s">
        <v>64</v>
      </c>
      <c r="C51" s="61">
        <v>2</v>
      </c>
      <c r="D51" s="18" t="s">
        <v>314</v>
      </c>
      <c r="E51" s="18" t="s">
        <v>65</v>
      </c>
      <c r="F51" s="18" t="s">
        <v>2</v>
      </c>
    </row>
    <row r="52" spans="2:6" ht="14.25" hidden="1">
      <c r="B52" s="61" t="s">
        <v>166</v>
      </c>
      <c r="C52" s="61">
        <v>3</v>
      </c>
      <c r="D52" s="18" t="s">
        <v>314</v>
      </c>
      <c r="E52" s="18" t="s">
        <v>65</v>
      </c>
      <c r="F52" s="18" t="s">
        <v>2</v>
      </c>
    </row>
    <row r="53" spans="2:6" ht="14.25" hidden="1">
      <c r="B53" s="61" t="s">
        <v>167</v>
      </c>
      <c r="C53" s="61">
        <v>2</v>
      </c>
      <c r="D53" s="18" t="s">
        <v>314</v>
      </c>
      <c r="E53" s="18" t="s">
        <v>65</v>
      </c>
      <c r="F53" s="18" t="s">
        <v>2</v>
      </c>
    </row>
    <row r="54" spans="2:6" ht="14.25" hidden="1">
      <c r="B54" s="61" t="s">
        <v>168</v>
      </c>
      <c r="C54" s="61">
        <v>1</v>
      </c>
      <c r="D54" s="18" t="s">
        <v>314</v>
      </c>
      <c r="E54" s="18" t="s">
        <v>65</v>
      </c>
      <c r="F54" s="18" t="s">
        <v>2</v>
      </c>
    </row>
    <row r="55" spans="2:6" ht="14.25" hidden="1">
      <c r="B55" s="61" t="s">
        <v>169</v>
      </c>
      <c r="C55" s="61">
        <v>3</v>
      </c>
      <c r="D55" s="18" t="s">
        <v>314</v>
      </c>
      <c r="E55" s="18" t="s">
        <v>65</v>
      </c>
      <c r="F55" s="18" t="s">
        <v>2</v>
      </c>
    </row>
    <row r="56" spans="2:6" ht="14.25" hidden="1">
      <c r="B56" s="61" t="s">
        <v>170</v>
      </c>
      <c r="C56" s="61">
        <v>2</v>
      </c>
      <c r="D56" s="18" t="s">
        <v>314</v>
      </c>
      <c r="E56" s="18" t="s">
        <v>65</v>
      </c>
      <c r="F56" s="18" t="s">
        <v>2</v>
      </c>
    </row>
    <row r="57" spans="2:6" ht="14.25" hidden="1">
      <c r="B57" s="61" t="s">
        <v>171</v>
      </c>
      <c r="C57" s="61">
        <v>1</v>
      </c>
      <c r="D57" s="18" t="s">
        <v>314</v>
      </c>
      <c r="E57" s="18" t="s">
        <v>65</v>
      </c>
      <c r="F57" s="18" t="s">
        <v>2</v>
      </c>
    </row>
    <row r="58" spans="2:6" ht="14.25" hidden="1">
      <c r="B58" s="61" t="s">
        <v>172</v>
      </c>
      <c r="C58" s="61">
        <v>10</v>
      </c>
      <c r="D58" s="18" t="s">
        <v>329</v>
      </c>
      <c r="E58" s="18" t="s">
        <v>14</v>
      </c>
      <c r="F58" s="18" t="s">
        <v>15</v>
      </c>
    </row>
    <row r="59" spans="2:6" ht="14.25" hidden="1">
      <c r="B59" s="61" t="s">
        <v>173</v>
      </c>
      <c r="C59" s="61">
        <v>5</v>
      </c>
      <c r="D59" s="18" t="s">
        <v>329</v>
      </c>
      <c r="E59" s="18" t="s">
        <v>14</v>
      </c>
      <c r="F59" s="18" t="s">
        <v>15</v>
      </c>
    </row>
    <row r="60" spans="2:6" ht="14.25" hidden="1">
      <c r="B60" s="61" t="s">
        <v>174</v>
      </c>
      <c r="C60" s="61">
        <v>5</v>
      </c>
      <c r="D60" s="18" t="s">
        <v>329</v>
      </c>
      <c r="E60" s="18" t="s">
        <v>14</v>
      </c>
      <c r="F60" s="18" t="s">
        <v>15</v>
      </c>
    </row>
    <row r="61" spans="2:6" ht="14.25" hidden="1">
      <c r="B61" s="61" t="s">
        <v>175</v>
      </c>
      <c r="C61" s="61">
        <v>1</v>
      </c>
      <c r="D61" s="18" t="s">
        <v>314</v>
      </c>
      <c r="E61" s="18" t="s">
        <v>65</v>
      </c>
      <c r="F61" s="18" t="s">
        <v>2</v>
      </c>
    </row>
    <row r="62" ht="5.25" customHeight="1" hidden="1"/>
    <row r="63" spans="1:11" ht="25.5" customHeight="1">
      <c r="A63" s="338" t="s">
        <v>294</v>
      </c>
      <c r="B63" s="338"/>
      <c r="C63" s="338"/>
      <c r="D63" s="338"/>
      <c r="E63" s="338"/>
      <c r="F63" s="338"/>
      <c r="G63" s="338"/>
      <c r="H63" s="338"/>
      <c r="I63" s="338"/>
      <c r="J63" s="338"/>
      <c r="K63" s="338"/>
    </row>
    <row r="64" spans="1:11" ht="12.75" customHeight="1">
      <c r="A64" s="279" t="s">
        <v>23</v>
      </c>
      <c r="B64" s="310" t="str">
        <f>ข้อมูลผู้กรอกและสรุปภาระงาน!B11</f>
        <v>ชื่ออาจารย์</v>
      </c>
      <c r="C64" s="310"/>
      <c r="D64" s="280" t="s">
        <v>4</v>
      </c>
      <c r="E64" s="281">
        <f>SUM(G70:G729)+SUM(H70:H729)/26</f>
        <v>0</v>
      </c>
      <c r="F64" s="282"/>
      <c r="H64" s="283"/>
      <c r="I64" s="284"/>
      <c r="J64" s="285"/>
      <c r="K64" s="25"/>
    </row>
    <row r="65" spans="1:11" ht="12.75" customHeight="1">
      <c r="A65" s="286" t="s">
        <v>22</v>
      </c>
      <c r="B65" s="310" t="str">
        <f>ข้อมูลผู้กรอกและสรุปภาระงาน!B12</f>
        <v>ชื่อภาควิชา</v>
      </c>
      <c r="C65" s="310"/>
      <c r="D65" s="341"/>
      <c r="E65" s="342"/>
      <c r="F65" s="287"/>
      <c r="G65" s="343"/>
      <c r="H65" s="343"/>
      <c r="I65" s="343"/>
      <c r="J65" s="285"/>
      <c r="K65" s="25"/>
    </row>
    <row r="66" spans="1:11" ht="12.75" customHeight="1">
      <c r="A66" s="286" t="s">
        <v>153</v>
      </c>
      <c r="B66" s="310" t="str">
        <f>ข้อมูลผู้กรอกและสรุปภาระงาน!B16</f>
        <v>รอบที่ 2 เดือนกุมภาพันธ์ 2563 - กรกฎาคม 2563</v>
      </c>
      <c r="C66" s="310"/>
      <c r="D66" s="288"/>
      <c r="E66" s="289"/>
      <c r="F66" s="289"/>
      <c r="G66" s="35"/>
      <c r="H66" s="35"/>
      <c r="I66" s="35"/>
      <c r="J66" s="35"/>
      <c r="K66" s="25"/>
    </row>
    <row r="68" spans="1:11" s="39" customFormat="1" ht="12.75" customHeight="1">
      <c r="A68" s="339" t="s">
        <v>1</v>
      </c>
      <c r="B68" s="339" t="s">
        <v>332</v>
      </c>
      <c r="C68" s="346" t="s">
        <v>311</v>
      </c>
      <c r="D68" s="346"/>
      <c r="E68" s="346"/>
      <c r="F68" s="346"/>
      <c r="G68" s="346" t="s">
        <v>7</v>
      </c>
      <c r="H68" s="346"/>
      <c r="I68" s="344" t="s">
        <v>319</v>
      </c>
      <c r="J68" s="347"/>
      <c r="K68" s="345"/>
    </row>
    <row r="69" spans="1:11" s="39" customFormat="1" ht="30">
      <c r="A69" s="340"/>
      <c r="B69" s="340"/>
      <c r="C69" s="291" t="s">
        <v>7</v>
      </c>
      <c r="D69" s="344" t="s">
        <v>330</v>
      </c>
      <c r="E69" s="345"/>
      <c r="F69" s="290" t="s">
        <v>2</v>
      </c>
      <c r="G69" s="292" t="s">
        <v>16</v>
      </c>
      <c r="H69" s="293" t="s">
        <v>17</v>
      </c>
      <c r="I69" s="344" t="s">
        <v>5</v>
      </c>
      <c r="J69" s="345"/>
      <c r="K69" s="292" t="s">
        <v>3</v>
      </c>
    </row>
    <row r="70" spans="1:11" ht="15">
      <c r="A70" s="44"/>
      <c r="B70" s="71" t="s">
        <v>27</v>
      </c>
      <c r="C70" s="50">
        <f>VLOOKUP(B70,$B$2:$F$62,2,FALSE)</f>
        <v>20</v>
      </c>
      <c r="D70" s="47" t="str">
        <f>VLOOKUP(B70,$B$2:$F$62,3,FALSE)</f>
        <v>ระบุจำนวนตำแหน่ง</v>
      </c>
      <c r="E70" s="70"/>
      <c r="F70" s="53" t="str">
        <f>VLOOKUP(B70,$B$2:$F$62,5,FALSE)</f>
        <v>ต่อสัปดาห์</v>
      </c>
      <c r="G70" s="54">
        <f>IF(F70="ต่อสัปดาห์",E70*C70,"")</f>
        <v>0</v>
      </c>
      <c r="H70" s="54">
        <f>IF(F70="ภาระงาน",E70*C70,"")</f>
      </c>
      <c r="I70" s="53" t="str">
        <f>VLOOKUP(B70,$B$2:$F$62,4,FALSE)</f>
        <v>ระบุตำแหน่ง</v>
      </c>
      <c r="J70" s="69"/>
      <c r="K70" s="55"/>
    </row>
    <row r="71" spans="1:11" ht="15">
      <c r="A71" s="44"/>
      <c r="B71" s="71" t="s">
        <v>27</v>
      </c>
      <c r="C71" s="50">
        <f>VLOOKUP(B71,$B$2:$F$62,2,FALSE)</f>
        <v>20</v>
      </c>
      <c r="D71" s="47" t="str">
        <f>VLOOKUP(B71,$B$2:$F$62,3,FALSE)</f>
        <v>ระบุจำนวนตำแหน่ง</v>
      </c>
      <c r="E71" s="70"/>
      <c r="F71" s="53" t="str">
        <f>VLOOKUP(B71,$B$2:$F$62,5,FALSE)</f>
        <v>ต่อสัปดาห์</v>
      </c>
      <c r="G71" s="54">
        <f>IF(F71="ต่อสัปดาห์",E71*C71,"")</f>
        <v>0</v>
      </c>
      <c r="H71" s="54">
        <f>IF(F71="ภาระงาน",E71*C71,"")</f>
      </c>
      <c r="I71" s="53" t="str">
        <f>VLOOKUP(B71,$B$2:$F$62,4,FALSE)</f>
        <v>ระบุตำแหน่ง</v>
      </c>
      <c r="J71" s="69"/>
      <c r="K71" s="55"/>
    </row>
  </sheetData>
  <sheetProtection/>
  <protectedRanges>
    <protectedRange password="CF57" sqref="K72:K444" name="ช่วง4"/>
    <protectedRange password="CF57" sqref="J72:J444" name="ช่วง3"/>
    <protectedRange password="CF57" sqref="E72:E444" name="ช่วง2"/>
    <protectedRange password="CF57" sqref="A72:A444" name="ช่วง1"/>
    <protectedRange password="CF57" sqref="K70:K71" name="ช่วง4_1"/>
    <protectedRange password="CF57" sqref="A70:A71" name="ช่วง1_1"/>
    <protectedRange password="CF57" sqref="J70:J71" name="ช่วง3_1_1"/>
    <protectedRange password="CF57" sqref="E70:E71" name="ช่วง2_1_1"/>
  </protectedRanges>
  <mergeCells count="13">
    <mergeCell ref="G68:H68"/>
    <mergeCell ref="C68:F68"/>
    <mergeCell ref="I68:K68"/>
    <mergeCell ref="A63:K63"/>
    <mergeCell ref="B65:C65"/>
    <mergeCell ref="A68:A69"/>
    <mergeCell ref="B68:B69"/>
    <mergeCell ref="D65:E65"/>
    <mergeCell ref="G65:I65"/>
    <mergeCell ref="D69:E69"/>
    <mergeCell ref="I69:J69"/>
    <mergeCell ref="B66:C66"/>
    <mergeCell ref="B64:C64"/>
  </mergeCells>
  <dataValidations count="1">
    <dataValidation type="list" allowBlank="1" showInputMessage="1" showErrorMessage="1" sqref="B70:B71">
      <formula1>INDIRECT(ภาระงานของผู้บริหาร)</formula1>
    </dataValidation>
  </dataValidations>
  <printOptions/>
  <pageMargins left="0.1968503937007874" right="0.1968503937007874" top="0.4330708661417323" bottom="0.3937007874015748" header="0.15748031496062992" footer="0.1968503937007874"/>
  <pageSetup fitToHeight="5" fitToWidth="1" horizontalDpi="300" verticalDpi="300" orientation="landscape" paperSize="9" scale="92" r:id="rId1"/>
  <headerFooter alignWithMargins="0">
    <oddFooter>&amp;L&amp;Z&amp;F  : แผ่นงาน ; &amp;A&amp;R&amp;P/&amp;N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2"/>
  <sheetViews>
    <sheetView zoomScale="90" zoomScaleNormal="90" zoomScalePageLayoutView="0" workbookViewId="0" topLeftCell="A174">
      <selection activeCell="F182" sqref="F182"/>
    </sheetView>
  </sheetViews>
  <sheetFormatPr defaultColWidth="9.140625" defaultRowHeight="12.75"/>
  <cols>
    <col min="1" max="1" width="17.8515625" style="79" customWidth="1"/>
    <col min="2" max="2" width="21.8515625" style="79" customWidth="1"/>
    <col min="3" max="3" width="28.8515625" style="79" customWidth="1"/>
    <col min="4" max="4" width="24.140625" style="79" customWidth="1"/>
    <col min="5" max="5" width="36.8515625" style="79" customWidth="1"/>
    <col min="6" max="6" width="12.421875" style="79" customWidth="1"/>
    <col min="7" max="7" width="26.57421875" style="79" customWidth="1"/>
    <col min="8" max="16384" width="9.140625" style="79" customWidth="1"/>
  </cols>
  <sheetData>
    <row r="1" spans="1:7" s="76" customFormat="1" ht="42">
      <c r="A1" s="298" t="s">
        <v>411</v>
      </c>
      <c r="B1" s="298" t="s">
        <v>531</v>
      </c>
      <c r="C1" s="298" t="s">
        <v>532</v>
      </c>
      <c r="D1" s="299" t="s">
        <v>533</v>
      </c>
      <c r="E1" s="299" t="s">
        <v>534</v>
      </c>
      <c r="F1" s="298" t="s">
        <v>535</v>
      </c>
      <c r="G1" s="298" t="s">
        <v>536</v>
      </c>
    </row>
    <row r="2" spans="1:7" ht="46.5">
      <c r="A2" s="348" t="s">
        <v>537</v>
      </c>
      <c r="B2" s="350" t="s">
        <v>766</v>
      </c>
      <c r="C2" s="350" t="s">
        <v>767</v>
      </c>
      <c r="D2" s="351" t="s">
        <v>768</v>
      </c>
      <c r="E2" s="300" t="s">
        <v>773</v>
      </c>
      <c r="F2" s="77" t="s">
        <v>839</v>
      </c>
      <c r="G2" s="78"/>
    </row>
    <row r="3" spans="1:7" ht="23.25">
      <c r="A3" s="348"/>
      <c r="B3" s="350"/>
      <c r="C3" s="350"/>
      <c r="D3" s="351"/>
      <c r="E3" s="300" t="s">
        <v>774</v>
      </c>
      <c r="F3" s="77" t="s">
        <v>839</v>
      </c>
      <c r="G3" s="78"/>
    </row>
    <row r="4" spans="1:7" ht="46.5">
      <c r="A4" s="348"/>
      <c r="B4" s="350"/>
      <c r="C4" s="350"/>
      <c r="D4" s="351"/>
      <c r="E4" s="300" t="s">
        <v>775</v>
      </c>
      <c r="F4" s="77" t="s">
        <v>839</v>
      </c>
      <c r="G4" s="78"/>
    </row>
    <row r="5" spans="1:7" ht="23.25">
      <c r="A5" s="348"/>
      <c r="B5" s="350"/>
      <c r="C5" s="350"/>
      <c r="D5" s="351"/>
      <c r="E5" s="300" t="s">
        <v>776</v>
      </c>
      <c r="F5" s="77" t="s">
        <v>839</v>
      </c>
      <c r="G5" s="78"/>
    </row>
    <row r="6" spans="1:7" ht="23.25">
      <c r="A6" s="348"/>
      <c r="B6" s="350"/>
      <c r="C6" s="350"/>
      <c r="D6" s="351"/>
      <c r="E6" s="300" t="s">
        <v>777</v>
      </c>
      <c r="F6" s="77" t="s">
        <v>839</v>
      </c>
      <c r="G6" s="78"/>
    </row>
    <row r="7" spans="1:7" ht="69.75">
      <c r="A7" s="348"/>
      <c r="B7" s="350"/>
      <c r="C7" s="350"/>
      <c r="D7" s="351"/>
      <c r="E7" s="300" t="s">
        <v>778</v>
      </c>
      <c r="F7" s="77" t="s">
        <v>839</v>
      </c>
      <c r="G7" s="78"/>
    </row>
    <row r="8" spans="1:7" ht="46.5">
      <c r="A8" s="348"/>
      <c r="B8" s="350"/>
      <c r="C8" s="350"/>
      <c r="D8" s="351" t="s">
        <v>769</v>
      </c>
      <c r="E8" s="300" t="s">
        <v>779</v>
      </c>
      <c r="F8" s="77" t="s">
        <v>839</v>
      </c>
      <c r="G8" s="78"/>
    </row>
    <row r="9" spans="1:7" ht="46.5">
      <c r="A9" s="348"/>
      <c r="B9" s="350"/>
      <c r="C9" s="350"/>
      <c r="D9" s="351"/>
      <c r="E9" s="300" t="s">
        <v>780</v>
      </c>
      <c r="F9" s="77" t="s">
        <v>839</v>
      </c>
      <c r="G9" s="78"/>
    </row>
    <row r="10" spans="1:7" ht="46.5">
      <c r="A10" s="348"/>
      <c r="B10" s="350"/>
      <c r="C10" s="350"/>
      <c r="D10" s="351"/>
      <c r="E10" s="300" t="s">
        <v>781</v>
      </c>
      <c r="F10" s="77" t="s">
        <v>839</v>
      </c>
      <c r="G10" s="78"/>
    </row>
    <row r="11" spans="1:7" ht="69.75">
      <c r="A11" s="348"/>
      <c r="B11" s="350"/>
      <c r="C11" s="350"/>
      <c r="D11" s="351"/>
      <c r="E11" s="300" t="s">
        <v>782</v>
      </c>
      <c r="F11" s="77" t="s">
        <v>839</v>
      </c>
      <c r="G11" s="78"/>
    </row>
    <row r="12" spans="1:7" ht="46.5">
      <c r="A12" s="348"/>
      <c r="B12" s="350"/>
      <c r="C12" s="350"/>
      <c r="D12" s="351"/>
      <c r="E12" s="300" t="s">
        <v>783</v>
      </c>
      <c r="F12" s="77" t="s">
        <v>839</v>
      </c>
      <c r="G12" s="78"/>
    </row>
    <row r="13" spans="1:7" ht="46.5">
      <c r="A13" s="348"/>
      <c r="B13" s="350"/>
      <c r="C13" s="350"/>
      <c r="D13" s="351" t="s">
        <v>770</v>
      </c>
      <c r="E13" s="300" t="s">
        <v>784</v>
      </c>
      <c r="F13" s="77" t="s">
        <v>839</v>
      </c>
      <c r="G13" s="78"/>
    </row>
    <row r="14" spans="1:7" ht="69.75">
      <c r="A14" s="348"/>
      <c r="B14" s="350"/>
      <c r="C14" s="350"/>
      <c r="D14" s="351"/>
      <c r="E14" s="300" t="s">
        <v>785</v>
      </c>
      <c r="F14" s="77" t="s">
        <v>839</v>
      </c>
      <c r="G14" s="78"/>
    </row>
    <row r="15" spans="1:7" ht="46.5">
      <c r="A15" s="348"/>
      <c r="B15" s="350"/>
      <c r="C15" s="350"/>
      <c r="D15" s="351"/>
      <c r="E15" s="300" t="s">
        <v>786</v>
      </c>
      <c r="F15" s="77" t="s">
        <v>839</v>
      </c>
      <c r="G15" s="78"/>
    </row>
    <row r="16" spans="1:7" ht="69.75">
      <c r="A16" s="348"/>
      <c r="B16" s="350"/>
      <c r="C16" s="350"/>
      <c r="D16" s="351" t="s">
        <v>771</v>
      </c>
      <c r="E16" s="300" t="s">
        <v>787</v>
      </c>
      <c r="F16" s="77" t="s">
        <v>839</v>
      </c>
      <c r="G16" s="78"/>
    </row>
    <row r="17" spans="1:7" ht="69.75">
      <c r="A17" s="348"/>
      <c r="B17" s="350"/>
      <c r="C17" s="350"/>
      <c r="D17" s="351"/>
      <c r="E17" s="300" t="s">
        <v>788</v>
      </c>
      <c r="F17" s="77" t="s">
        <v>839</v>
      </c>
      <c r="G17" s="78"/>
    </row>
    <row r="18" spans="1:7" ht="69.75">
      <c r="A18" s="348"/>
      <c r="B18" s="350"/>
      <c r="C18" s="350"/>
      <c r="D18" s="351"/>
      <c r="E18" s="300" t="s">
        <v>789</v>
      </c>
      <c r="F18" s="77" t="s">
        <v>839</v>
      </c>
      <c r="G18" s="78"/>
    </row>
    <row r="19" spans="1:7" ht="69.75">
      <c r="A19" s="348"/>
      <c r="B19" s="350"/>
      <c r="C19" s="350"/>
      <c r="D19" s="351" t="s">
        <v>772</v>
      </c>
      <c r="E19" s="300" t="s">
        <v>790</v>
      </c>
      <c r="F19" s="77" t="s">
        <v>839</v>
      </c>
      <c r="G19" s="78"/>
    </row>
    <row r="20" spans="1:7" ht="69.75">
      <c r="A20" s="348"/>
      <c r="B20" s="350"/>
      <c r="C20" s="350"/>
      <c r="D20" s="351"/>
      <c r="E20" s="300" t="s">
        <v>791</v>
      </c>
      <c r="F20" s="77" t="s">
        <v>839</v>
      </c>
      <c r="G20" s="78"/>
    </row>
    <row r="21" spans="1:7" ht="69.75">
      <c r="A21" s="348"/>
      <c r="B21" s="350"/>
      <c r="C21" s="350"/>
      <c r="D21" s="351"/>
      <c r="E21" s="300" t="s">
        <v>792</v>
      </c>
      <c r="F21" s="77" t="s">
        <v>839</v>
      </c>
      <c r="G21" s="78"/>
    </row>
    <row r="22" spans="1:7" ht="20.25">
      <c r="A22" s="348"/>
      <c r="B22" s="78"/>
      <c r="C22" s="78"/>
      <c r="D22" s="78"/>
      <c r="E22" s="78"/>
      <c r="F22" s="78"/>
      <c r="G22" s="78"/>
    </row>
    <row r="23" spans="1:7" ht="20.25">
      <c r="A23" s="348"/>
      <c r="B23" s="353" t="s">
        <v>730</v>
      </c>
      <c r="C23" s="353" t="s">
        <v>731</v>
      </c>
      <c r="D23" s="353" t="s">
        <v>732</v>
      </c>
      <c r="E23" s="296" t="s">
        <v>733</v>
      </c>
      <c r="F23" s="77" t="s">
        <v>839</v>
      </c>
      <c r="G23" s="78"/>
    </row>
    <row r="24" spans="1:7" ht="20.25">
      <c r="A24" s="348"/>
      <c r="B24" s="353"/>
      <c r="C24" s="353"/>
      <c r="D24" s="353"/>
      <c r="E24" s="296" t="s">
        <v>734</v>
      </c>
      <c r="F24" s="77" t="s">
        <v>839</v>
      </c>
      <c r="G24" s="78"/>
    </row>
    <row r="25" spans="1:7" ht="60.75">
      <c r="A25" s="348"/>
      <c r="B25" s="353"/>
      <c r="C25" s="353"/>
      <c r="D25" s="353" t="s">
        <v>735</v>
      </c>
      <c r="E25" s="296" t="s">
        <v>736</v>
      </c>
      <c r="F25" s="77" t="s">
        <v>839</v>
      </c>
      <c r="G25" s="78"/>
    </row>
    <row r="26" spans="1:7" ht="60.75">
      <c r="A26" s="348"/>
      <c r="B26" s="353"/>
      <c r="C26" s="353"/>
      <c r="D26" s="353"/>
      <c r="E26" s="296" t="s">
        <v>737</v>
      </c>
      <c r="F26" s="77" t="s">
        <v>839</v>
      </c>
      <c r="G26" s="78"/>
    </row>
    <row r="27" spans="1:7" ht="81">
      <c r="A27" s="348"/>
      <c r="B27" s="353"/>
      <c r="C27" s="353"/>
      <c r="D27" s="353" t="s">
        <v>738</v>
      </c>
      <c r="E27" s="296" t="s">
        <v>739</v>
      </c>
      <c r="F27" s="77" t="s">
        <v>839</v>
      </c>
      <c r="G27" s="78"/>
    </row>
    <row r="28" spans="1:7" ht="60.75">
      <c r="A28" s="348"/>
      <c r="B28" s="353"/>
      <c r="C28" s="353"/>
      <c r="D28" s="353"/>
      <c r="E28" s="296" t="s">
        <v>740</v>
      </c>
      <c r="F28" s="77" t="s">
        <v>839</v>
      </c>
      <c r="G28" s="78"/>
    </row>
    <row r="29" spans="1:7" ht="60.75">
      <c r="A29" s="348"/>
      <c r="B29" s="353"/>
      <c r="C29" s="353"/>
      <c r="D29" s="353" t="s">
        <v>741</v>
      </c>
      <c r="E29" s="296" t="s">
        <v>742</v>
      </c>
      <c r="F29" s="77" t="s">
        <v>839</v>
      </c>
      <c r="G29" s="78"/>
    </row>
    <row r="30" spans="1:7" ht="60.75">
      <c r="A30" s="348"/>
      <c r="B30" s="353"/>
      <c r="C30" s="353"/>
      <c r="D30" s="353"/>
      <c r="E30" s="296" t="s">
        <v>743</v>
      </c>
      <c r="F30" s="77" t="s">
        <v>839</v>
      </c>
      <c r="G30" s="78"/>
    </row>
    <row r="31" spans="1:7" ht="40.5">
      <c r="A31" s="348"/>
      <c r="B31" s="353"/>
      <c r="C31" s="353"/>
      <c r="D31" s="353" t="s">
        <v>744</v>
      </c>
      <c r="E31" s="296" t="s">
        <v>745</v>
      </c>
      <c r="F31" s="77" t="s">
        <v>839</v>
      </c>
      <c r="G31" s="78"/>
    </row>
    <row r="32" spans="1:7" ht="81">
      <c r="A32" s="348"/>
      <c r="B32" s="353"/>
      <c r="C32" s="353"/>
      <c r="D32" s="353"/>
      <c r="E32" s="296" t="s">
        <v>746</v>
      </c>
      <c r="F32" s="77" t="s">
        <v>839</v>
      </c>
      <c r="G32" s="78"/>
    </row>
    <row r="33" spans="1:7" ht="20.25">
      <c r="A33" s="348"/>
      <c r="B33" s="78"/>
      <c r="C33" s="78"/>
      <c r="D33" s="78"/>
      <c r="E33" s="78"/>
      <c r="F33" s="78"/>
      <c r="G33" s="78"/>
    </row>
    <row r="34" spans="1:7" ht="40.5">
      <c r="A34" s="348"/>
      <c r="B34" s="352" t="s">
        <v>747</v>
      </c>
      <c r="C34" s="352" t="s">
        <v>748</v>
      </c>
      <c r="D34" s="352" t="s">
        <v>749</v>
      </c>
      <c r="E34" s="78" t="s">
        <v>750</v>
      </c>
      <c r="F34" s="77" t="s">
        <v>839</v>
      </c>
      <c r="G34" s="78"/>
    </row>
    <row r="35" spans="1:7" ht="60.75">
      <c r="A35" s="348"/>
      <c r="B35" s="352"/>
      <c r="C35" s="352"/>
      <c r="D35" s="352"/>
      <c r="E35" s="78" t="s">
        <v>751</v>
      </c>
      <c r="F35" s="77" t="s">
        <v>839</v>
      </c>
      <c r="G35" s="78"/>
    </row>
    <row r="36" spans="1:7" ht="81">
      <c r="A36" s="348"/>
      <c r="B36" s="352"/>
      <c r="C36" s="352"/>
      <c r="D36" s="78" t="s">
        <v>752</v>
      </c>
      <c r="E36" s="78" t="s">
        <v>753</v>
      </c>
      <c r="F36" s="77" t="s">
        <v>839</v>
      </c>
      <c r="G36" s="78"/>
    </row>
    <row r="37" spans="1:7" ht="40.5">
      <c r="A37" s="348"/>
      <c r="B37" s="352"/>
      <c r="C37" s="352"/>
      <c r="D37" s="352" t="s">
        <v>754</v>
      </c>
      <c r="E37" s="78" t="s">
        <v>755</v>
      </c>
      <c r="F37" s="77" t="s">
        <v>839</v>
      </c>
      <c r="G37" s="78"/>
    </row>
    <row r="38" spans="1:7" ht="81">
      <c r="A38" s="348"/>
      <c r="B38" s="352"/>
      <c r="C38" s="352"/>
      <c r="D38" s="352"/>
      <c r="E38" s="78" t="s">
        <v>756</v>
      </c>
      <c r="F38" s="77" t="s">
        <v>839</v>
      </c>
      <c r="G38" s="78"/>
    </row>
    <row r="39" spans="1:7" ht="40.5">
      <c r="A39" s="348"/>
      <c r="B39" s="352"/>
      <c r="C39" s="352"/>
      <c r="D39" s="352"/>
      <c r="E39" s="78" t="s">
        <v>757</v>
      </c>
      <c r="F39" s="77" t="s">
        <v>839</v>
      </c>
      <c r="G39" s="78"/>
    </row>
    <row r="40" spans="1:7" ht="60.75">
      <c r="A40" s="348"/>
      <c r="B40" s="352"/>
      <c r="C40" s="352"/>
      <c r="D40" s="352" t="s">
        <v>758</v>
      </c>
      <c r="E40" s="78" t="s">
        <v>759</v>
      </c>
      <c r="F40" s="77" t="s">
        <v>839</v>
      </c>
      <c r="G40" s="78"/>
    </row>
    <row r="41" spans="1:7" ht="40.5">
      <c r="A41" s="348"/>
      <c r="B41" s="352"/>
      <c r="C41" s="352"/>
      <c r="D41" s="352"/>
      <c r="E41" s="78" t="s">
        <v>760</v>
      </c>
      <c r="F41" s="77" t="s">
        <v>839</v>
      </c>
      <c r="G41" s="78"/>
    </row>
    <row r="42" spans="1:7" ht="40.5">
      <c r="A42" s="348"/>
      <c r="B42" s="352"/>
      <c r="C42" s="352"/>
      <c r="D42" s="352"/>
      <c r="E42" s="78" t="s">
        <v>761</v>
      </c>
      <c r="F42" s="77" t="s">
        <v>839</v>
      </c>
      <c r="G42" s="78"/>
    </row>
    <row r="43" spans="1:7" ht="60.75">
      <c r="A43" s="348"/>
      <c r="B43" s="352"/>
      <c r="C43" s="352"/>
      <c r="D43" s="352" t="s">
        <v>762</v>
      </c>
      <c r="E43" s="78" t="s">
        <v>763</v>
      </c>
      <c r="F43" s="77" t="s">
        <v>839</v>
      </c>
      <c r="G43" s="78"/>
    </row>
    <row r="44" spans="1:7" ht="40.5">
      <c r="A44" s="348"/>
      <c r="B44" s="352"/>
      <c r="C44" s="352"/>
      <c r="D44" s="352"/>
      <c r="E44" s="78" t="s">
        <v>764</v>
      </c>
      <c r="F44" s="77" t="s">
        <v>839</v>
      </c>
      <c r="G44" s="78"/>
    </row>
    <row r="45" spans="1:7" ht="81">
      <c r="A45" s="348"/>
      <c r="B45" s="352"/>
      <c r="C45" s="352"/>
      <c r="D45" s="352"/>
      <c r="E45" s="78" t="s">
        <v>765</v>
      </c>
      <c r="F45" s="77" t="s">
        <v>839</v>
      </c>
      <c r="G45" s="78"/>
    </row>
    <row r="46" spans="1:7" ht="20.25">
      <c r="A46" s="348"/>
      <c r="B46" s="78"/>
      <c r="C46" s="78"/>
      <c r="D46" s="78"/>
      <c r="E46" s="78"/>
      <c r="F46" s="78"/>
      <c r="G46" s="78"/>
    </row>
    <row r="47" spans="1:7" ht="60.75">
      <c r="A47" s="348"/>
      <c r="B47" s="354" t="s">
        <v>565</v>
      </c>
      <c r="C47" s="354" t="s">
        <v>566</v>
      </c>
      <c r="D47" s="353" t="s">
        <v>567</v>
      </c>
      <c r="E47" s="296" t="s">
        <v>568</v>
      </c>
      <c r="F47" s="77" t="s">
        <v>839</v>
      </c>
      <c r="G47" s="78"/>
    </row>
    <row r="48" spans="1:7" ht="40.5">
      <c r="A48" s="348"/>
      <c r="B48" s="354"/>
      <c r="C48" s="354"/>
      <c r="D48" s="353"/>
      <c r="E48" s="296" t="s">
        <v>569</v>
      </c>
      <c r="F48" s="77" t="s">
        <v>839</v>
      </c>
      <c r="G48" s="78"/>
    </row>
    <row r="49" spans="1:7" ht="40.5">
      <c r="A49" s="348"/>
      <c r="B49" s="354"/>
      <c r="C49" s="354"/>
      <c r="D49" s="353"/>
      <c r="E49" s="296" t="s">
        <v>570</v>
      </c>
      <c r="F49" s="77" t="s">
        <v>839</v>
      </c>
      <c r="G49" s="78"/>
    </row>
    <row r="50" spans="1:7" ht="40.5">
      <c r="A50" s="348"/>
      <c r="B50" s="354"/>
      <c r="C50" s="354"/>
      <c r="D50" s="353"/>
      <c r="E50" s="296" t="s">
        <v>571</v>
      </c>
      <c r="F50" s="77" t="s">
        <v>839</v>
      </c>
      <c r="G50" s="78"/>
    </row>
    <row r="51" spans="1:7" ht="40.5">
      <c r="A51" s="348"/>
      <c r="B51" s="354"/>
      <c r="C51" s="354"/>
      <c r="D51" s="353" t="s">
        <v>572</v>
      </c>
      <c r="E51" s="296" t="s">
        <v>573</v>
      </c>
      <c r="F51" s="77" t="s">
        <v>839</v>
      </c>
      <c r="G51" s="78"/>
    </row>
    <row r="52" spans="1:7" ht="40.5">
      <c r="A52" s="348"/>
      <c r="B52" s="354"/>
      <c r="C52" s="354"/>
      <c r="D52" s="353"/>
      <c r="E52" s="296" t="s">
        <v>574</v>
      </c>
      <c r="F52" s="77" t="s">
        <v>839</v>
      </c>
      <c r="G52" s="78"/>
    </row>
    <row r="53" spans="1:7" ht="40.5">
      <c r="A53" s="348"/>
      <c r="B53" s="354"/>
      <c r="C53" s="354"/>
      <c r="D53" s="353"/>
      <c r="E53" s="296" t="s">
        <v>575</v>
      </c>
      <c r="F53" s="77" t="s">
        <v>839</v>
      </c>
      <c r="G53" s="78"/>
    </row>
    <row r="54" spans="1:7" ht="81">
      <c r="A54" s="348"/>
      <c r="B54" s="354"/>
      <c r="C54" s="354"/>
      <c r="D54" s="353"/>
      <c r="E54" s="296" t="s">
        <v>576</v>
      </c>
      <c r="F54" s="77" t="s">
        <v>839</v>
      </c>
      <c r="G54" s="78"/>
    </row>
    <row r="55" spans="1:7" ht="40.5">
      <c r="A55" s="348"/>
      <c r="B55" s="354"/>
      <c r="C55" s="354"/>
      <c r="D55" s="353" t="s">
        <v>577</v>
      </c>
      <c r="E55" s="296" t="s">
        <v>578</v>
      </c>
      <c r="F55" s="77" t="s">
        <v>839</v>
      </c>
      <c r="G55" s="78"/>
    </row>
    <row r="56" spans="1:7" ht="60.75">
      <c r="A56" s="348"/>
      <c r="B56" s="354"/>
      <c r="C56" s="354"/>
      <c r="D56" s="353"/>
      <c r="E56" s="296" t="s">
        <v>579</v>
      </c>
      <c r="F56" s="77" t="s">
        <v>839</v>
      </c>
      <c r="G56" s="78"/>
    </row>
    <row r="57" spans="1:7" ht="40.5">
      <c r="A57" s="348"/>
      <c r="B57" s="354"/>
      <c r="C57" s="354"/>
      <c r="D57" s="353"/>
      <c r="E57" s="296" t="s">
        <v>580</v>
      </c>
      <c r="F57" s="77" t="s">
        <v>839</v>
      </c>
      <c r="G57" s="78"/>
    </row>
    <row r="58" spans="1:7" ht="81">
      <c r="A58" s="348"/>
      <c r="B58" s="354"/>
      <c r="C58" s="354"/>
      <c r="D58" s="353"/>
      <c r="E58" s="296" t="s">
        <v>581</v>
      </c>
      <c r="F58" s="77" t="s">
        <v>839</v>
      </c>
      <c r="G58" s="78"/>
    </row>
    <row r="59" spans="1:7" ht="60.75">
      <c r="A59" s="348"/>
      <c r="B59" s="354"/>
      <c r="C59" s="354"/>
      <c r="D59" s="353" t="s">
        <v>582</v>
      </c>
      <c r="E59" s="296" t="s">
        <v>583</v>
      </c>
      <c r="F59" s="77" t="s">
        <v>839</v>
      </c>
      <c r="G59" s="78"/>
    </row>
    <row r="60" spans="1:7" ht="40.5">
      <c r="A60" s="348"/>
      <c r="B60" s="354"/>
      <c r="C60" s="354"/>
      <c r="D60" s="353"/>
      <c r="E60" s="296" t="s">
        <v>584</v>
      </c>
      <c r="F60" s="77" t="s">
        <v>839</v>
      </c>
      <c r="G60" s="78"/>
    </row>
    <row r="61" spans="1:7" ht="60.75">
      <c r="A61" s="348"/>
      <c r="B61" s="354"/>
      <c r="C61" s="354"/>
      <c r="D61" s="353"/>
      <c r="E61" s="296" t="s">
        <v>585</v>
      </c>
      <c r="F61" s="77" t="s">
        <v>839</v>
      </c>
      <c r="G61" s="78"/>
    </row>
    <row r="62" spans="1:7" ht="60.75">
      <c r="A62" s="348"/>
      <c r="B62" s="354"/>
      <c r="C62" s="354"/>
      <c r="D62" s="353"/>
      <c r="E62" s="296" t="s">
        <v>586</v>
      </c>
      <c r="F62" s="77" t="s">
        <v>839</v>
      </c>
      <c r="G62" s="78"/>
    </row>
    <row r="63" spans="1:7" ht="81">
      <c r="A63" s="348"/>
      <c r="B63" s="354"/>
      <c r="C63" s="354"/>
      <c r="D63" s="353" t="s">
        <v>587</v>
      </c>
      <c r="E63" s="296" t="s">
        <v>588</v>
      </c>
      <c r="F63" s="77" t="s">
        <v>839</v>
      </c>
      <c r="G63" s="78"/>
    </row>
    <row r="64" spans="1:7" ht="60.75">
      <c r="A64" s="348"/>
      <c r="B64" s="354"/>
      <c r="C64" s="354"/>
      <c r="D64" s="353"/>
      <c r="E64" s="296" t="s">
        <v>589</v>
      </c>
      <c r="F64" s="77" t="s">
        <v>839</v>
      </c>
      <c r="G64" s="78"/>
    </row>
    <row r="65" spans="1:7" ht="20.25">
      <c r="A65" s="348"/>
      <c r="B65" s="78"/>
      <c r="C65" s="78"/>
      <c r="D65" s="78"/>
      <c r="E65" s="78"/>
      <c r="F65" s="78"/>
      <c r="G65" s="78"/>
    </row>
    <row r="66" spans="1:7" ht="20.25">
      <c r="A66" s="348"/>
      <c r="B66" s="354" t="s">
        <v>538</v>
      </c>
      <c r="C66" s="354" t="s">
        <v>539</v>
      </c>
      <c r="D66" s="353" t="s">
        <v>540</v>
      </c>
      <c r="E66" s="296" t="s">
        <v>541</v>
      </c>
      <c r="F66" s="77" t="s">
        <v>839</v>
      </c>
      <c r="G66" s="78"/>
    </row>
    <row r="67" spans="1:7" ht="40.5">
      <c r="A67" s="348"/>
      <c r="B67" s="354"/>
      <c r="C67" s="354"/>
      <c r="D67" s="353"/>
      <c r="E67" s="296" t="s">
        <v>542</v>
      </c>
      <c r="F67" s="77" t="s">
        <v>839</v>
      </c>
      <c r="G67" s="78"/>
    </row>
    <row r="68" spans="1:7" ht="40.5">
      <c r="A68" s="348"/>
      <c r="B68" s="354"/>
      <c r="C68" s="354"/>
      <c r="D68" s="353"/>
      <c r="E68" s="296" t="s">
        <v>543</v>
      </c>
      <c r="F68" s="77" t="s">
        <v>839</v>
      </c>
      <c r="G68" s="78"/>
    </row>
    <row r="69" spans="1:7" ht="40.5">
      <c r="A69" s="348"/>
      <c r="B69" s="354"/>
      <c r="C69" s="354"/>
      <c r="D69" s="353"/>
      <c r="E69" s="296" t="s">
        <v>544</v>
      </c>
      <c r="F69" s="77" t="s">
        <v>839</v>
      </c>
      <c r="G69" s="78"/>
    </row>
    <row r="70" spans="1:7" ht="40.5">
      <c r="A70" s="348"/>
      <c r="B70" s="354"/>
      <c r="C70" s="354"/>
      <c r="D70" s="353" t="s">
        <v>545</v>
      </c>
      <c r="E70" s="296" t="s">
        <v>546</v>
      </c>
      <c r="F70" s="77" t="s">
        <v>839</v>
      </c>
      <c r="G70" s="78"/>
    </row>
    <row r="71" spans="1:7" ht="40.5">
      <c r="A71" s="348"/>
      <c r="B71" s="354"/>
      <c r="C71" s="354"/>
      <c r="D71" s="353"/>
      <c r="E71" s="296" t="s">
        <v>547</v>
      </c>
      <c r="F71" s="77" t="s">
        <v>839</v>
      </c>
      <c r="G71" s="78"/>
    </row>
    <row r="72" spans="1:7" ht="40.5">
      <c r="A72" s="348"/>
      <c r="B72" s="354"/>
      <c r="C72" s="354"/>
      <c r="D72" s="353"/>
      <c r="E72" s="296" t="s">
        <v>548</v>
      </c>
      <c r="F72" s="77" t="s">
        <v>839</v>
      </c>
      <c r="G72" s="78"/>
    </row>
    <row r="73" spans="1:7" ht="40.5">
      <c r="A73" s="348"/>
      <c r="B73" s="354"/>
      <c r="C73" s="354"/>
      <c r="D73" s="353"/>
      <c r="E73" s="296" t="s">
        <v>549</v>
      </c>
      <c r="F73" s="77" t="s">
        <v>839</v>
      </c>
      <c r="G73" s="78"/>
    </row>
    <row r="74" spans="1:7" ht="60.75">
      <c r="A74" s="348"/>
      <c r="B74" s="354"/>
      <c r="C74" s="354"/>
      <c r="D74" s="353" t="s">
        <v>550</v>
      </c>
      <c r="E74" s="296" t="s">
        <v>551</v>
      </c>
      <c r="F74" s="77" t="s">
        <v>839</v>
      </c>
      <c r="G74" s="78"/>
    </row>
    <row r="75" spans="1:7" ht="60.75">
      <c r="A75" s="348"/>
      <c r="B75" s="354"/>
      <c r="C75" s="354"/>
      <c r="D75" s="353"/>
      <c r="E75" s="296" t="s">
        <v>552</v>
      </c>
      <c r="F75" s="77" t="s">
        <v>839</v>
      </c>
      <c r="G75" s="78"/>
    </row>
    <row r="76" spans="1:7" ht="40.5">
      <c r="A76" s="348"/>
      <c r="B76" s="354"/>
      <c r="C76" s="354"/>
      <c r="D76" s="353"/>
      <c r="E76" s="296" t="s">
        <v>553</v>
      </c>
      <c r="F76" s="77" t="s">
        <v>839</v>
      </c>
      <c r="G76" s="78"/>
    </row>
    <row r="77" spans="1:7" ht="40.5">
      <c r="A77" s="348"/>
      <c r="B77" s="354"/>
      <c r="C77" s="354"/>
      <c r="D77" s="353"/>
      <c r="E77" s="296" t="s">
        <v>554</v>
      </c>
      <c r="F77" s="77" t="s">
        <v>839</v>
      </c>
      <c r="G77" s="78"/>
    </row>
    <row r="78" spans="1:7" ht="81">
      <c r="A78" s="348"/>
      <c r="B78" s="354"/>
      <c r="C78" s="354"/>
      <c r="D78" s="353" t="s">
        <v>555</v>
      </c>
      <c r="E78" s="296" t="s">
        <v>556</v>
      </c>
      <c r="F78" s="77" t="s">
        <v>839</v>
      </c>
      <c r="G78" s="78"/>
    </row>
    <row r="79" spans="1:7" ht="40.5">
      <c r="A79" s="348"/>
      <c r="B79" s="354"/>
      <c r="C79" s="354"/>
      <c r="D79" s="353"/>
      <c r="E79" s="296" t="s">
        <v>557</v>
      </c>
      <c r="F79" s="77" t="s">
        <v>839</v>
      </c>
      <c r="G79" s="78"/>
    </row>
    <row r="80" spans="1:7" ht="40.5">
      <c r="A80" s="348"/>
      <c r="B80" s="354"/>
      <c r="C80" s="354"/>
      <c r="D80" s="353"/>
      <c r="E80" s="296" t="s">
        <v>558</v>
      </c>
      <c r="F80" s="77" t="s">
        <v>839</v>
      </c>
      <c r="G80" s="78"/>
    </row>
    <row r="81" spans="1:7" ht="40.5">
      <c r="A81" s="348"/>
      <c r="B81" s="354"/>
      <c r="C81" s="354"/>
      <c r="D81" s="353"/>
      <c r="E81" s="296" t="s">
        <v>559</v>
      </c>
      <c r="F81" s="77" t="s">
        <v>839</v>
      </c>
      <c r="G81" s="78"/>
    </row>
    <row r="82" spans="1:7" ht="40.5">
      <c r="A82" s="348"/>
      <c r="B82" s="354"/>
      <c r="C82" s="354"/>
      <c r="D82" s="353" t="s">
        <v>560</v>
      </c>
      <c r="E82" s="296" t="s">
        <v>561</v>
      </c>
      <c r="F82" s="77" t="s">
        <v>839</v>
      </c>
      <c r="G82" s="78"/>
    </row>
    <row r="83" spans="1:7" ht="40.5">
      <c r="A83" s="348"/>
      <c r="B83" s="354"/>
      <c r="C83" s="354"/>
      <c r="D83" s="353"/>
      <c r="E83" s="296" t="s">
        <v>562</v>
      </c>
      <c r="F83" s="77" t="s">
        <v>839</v>
      </c>
      <c r="G83" s="78"/>
    </row>
    <row r="84" spans="1:7" ht="40.5">
      <c r="A84" s="348"/>
      <c r="B84" s="354"/>
      <c r="C84" s="354"/>
      <c r="D84" s="353"/>
      <c r="E84" s="296" t="s">
        <v>563</v>
      </c>
      <c r="F84" s="77" t="s">
        <v>839</v>
      </c>
      <c r="G84" s="78"/>
    </row>
    <row r="85" spans="1:7" ht="40.5">
      <c r="A85" s="348"/>
      <c r="B85" s="354"/>
      <c r="C85" s="354"/>
      <c r="D85" s="353"/>
      <c r="E85" s="296" t="s">
        <v>564</v>
      </c>
      <c r="F85" s="77" t="s">
        <v>839</v>
      </c>
      <c r="G85" s="78"/>
    </row>
    <row r="87" spans="1:7" ht="60.75" customHeight="1">
      <c r="A87" s="349" t="s">
        <v>672</v>
      </c>
      <c r="B87" s="354" t="s">
        <v>673</v>
      </c>
      <c r="C87" s="354" t="s">
        <v>674</v>
      </c>
      <c r="D87" s="353" t="s">
        <v>675</v>
      </c>
      <c r="E87" s="296" t="s">
        <v>676</v>
      </c>
      <c r="F87" s="77" t="s">
        <v>839</v>
      </c>
      <c r="G87" s="78"/>
    </row>
    <row r="88" spans="1:7" ht="40.5">
      <c r="A88" s="349"/>
      <c r="B88" s="354"/>
      <c r="C88" s="354"/>
      <c r="D88" s="353"/>
      <c r="E88" s="296" t="s">
        <v>677</v>
      </c>
      <c r="F88" s="77" t="s">
        <v>839</v>
      </c>
      <c r="G88" s="78"/>
    </row>
    <row r="89" spans="1:7" ht="40.5">
      <c r="A89" s="349"/>
      <c r="B89" s="354"/>
      <c r="C89" s="354"/>
      <c r="D89" s="353" t="s">
        <v>678</v>
      </c>
      <c r="E89" s="296" t="s">
        <v>679</v>
      </c>
      <c r="F89" s="77" t="s">
        <v>839</v>
      </c>
      <c r="G89" s="78"/>
    </row>
    <row r="90" spans="1:7" ht="40.5">
      <c r="A90" s="349"/>
      <c r="B90" s="354"/>
      <c r="C90" s="354"/>
      <c r="D90" s="353"/>
      <c r="E90" s="296" t="s">
        <v>680</v>
      </c>
      <c r="F90" s="77" t="s">
        <v>839</v>
      </c>
      <c r="G90" s="78"/>
    </row>
    <row r="91" spans="1:7" ht="20.25">
      <c r="A91" s="349"/>
      <c r="B91" s="354"/>
      <c r="C91" s="354"/>
      <c r="D91" s="353"/>
      <c r="E91" s="296" t="s">
        <v>681</v>
      </c>
      <c r="F91" s="77" t="s">
        <v>839</v>
      </c>
      <c r="G91" s="78"/>
    </row>
    <row r="92" spans="1:7" ht="60.75">
      <c r="A92" s="349"/>
      <c r="B92" s="354"/>
      <c r="C92" s="354"/>
      <c r="D92" s="353"/>
      <c r="E92" s="296" t="s">
        <v>682</v>
      </c>
      <c r="F92" s="77" t="s">
        <v>839</v>
      </c>
      <c r="G92" s="78"/>
    </row>
    <row r="93" spans="1:7" ht="40.5">
      <c r="A93" s="349"/>
      <c r="B93" s="354"/>
      <c r="C93" s="354"/>
      <c r="D93" s="353" t="s">
        <v>683</v>
      </c>
      <c r="E93" s="296" t="s">
        <v>684</v>
      </c>
      <c r="F93" s="77" t="s">
        <v>839</v>
      </c>
      <c r="G93" s="78"/>
    </row>
    <row r="94" spans="1:7" ht="60.75">
      <c r="A94" s="349"/>
      <c r="B94" s="354"/>
      <c r="C94" s="354"/>
      <c r="D94" s="353"/>
      <c r="E94" s="296" t="s">
        <v>685</v>
      </c>
      <c r="F94" s="77" t="s">
        <v>839</v>
      </c>
      <c r="G94" s="78"/>
    </row>
    <row r="95" spans="1:7" ht="40.5">
      <c r="A95" s="349"/>
      <c r="B95" s="354"/>
      <c r="C95" s="354"/>
      <c r="D95" s="353"/>
      <c r="E95" s="296" t="s">
        <v>686</v>
      </c>
      <c r="F95" s="77" t="s">
        <v>839</v>
      </c>
      <c r="G95" s="78"/>
    </row>
    <row r="96" spans="1:7" ht="40.5">
      <c r="A96" s="349"/>
      <c r="B96" s="354"/>
      <c r="C96" s="354"/>
      <c r="D96" s="353" t="s">
        <v>687</v>
      </c>
      <c r="E96" s="296" t="s">
        <v>688</v>
      </c>
      <c r="F96" s="77" t="s">
        <v>839</v>
      </c>
      <c r="G96" s="78"/>
    </row>
    <row r="97" spans="1:7" ht="20.25">
      <c r="A97" s="349"/>
      <c r="B97" s="354"/>
      <c r="C97" s="354"/>
      <c r="D97" s="353"/>
      <c r="E97" s="296" t="s">
        <v>689</v>
      </c>
      <c r="F97" s="77" t="s">
        <v>839</v>
      </c>
      <c r="G97" s="78"/>
    </row>
    <row r="98" spans="1:7" ht="60.75">
      <c r="A98" s="349"/>
      <c r="B98" s="354"/>
      <c r="C98" s="354"/>
      <c r="D98" s="353"/>
      <c r="E98" s="296" t="s">
        <v>690</v>
      </c>
      <c r="F98" s="77" t="s">
        <v>839</v>
      </c>
      <c r="G98" s="78"/>
    </row>
    <row r="99" spans="1:7" ht="101.25">
      <c r="A99" s="349"/>
      <c r="B99" s="354"/>
      <c r="C99" s="354"/>
      <c r="D99" s="296" t="s">
        <v>691</v>
      </c>
      <c r="E99" s="296" t="s">
        <v>692</v>
      </c>
      <c r="F99" s="77" t="s">
        <v>839</v>
      </c>
      <c r="G99" s="78"/>
    </row>
    <row r="100" spans="1:7" ht="20.25">
      <c r="A100" s="349"/>
      <c r="B100" s="78"/>
      <c r="C100" s="78"/>
      <c r="D100" s="78"/>
      <c r="E100" s="78"/>
      <c r="F100" s="78"/>
      <c r="G100" s="78"/>
    </row>
    <row r="101" spans="1:7" ht="40.5">
      <c r="A101" s="349"/>
      <c r="B101" s="354" t="s">
        <v>693</v>
      </c>
      <c r="C101" s="354" t="s">
        <v>694</v>
      </c>
      <c r="D101" s="353" t="s">
        <v>695</v>
      </c>
      <c r="E101" s="296" t="s">
        <v>696</v>
      </c>
      <c r="F101" s="77" t="s">
        <v>839</v>
      </c>
      <c r="G101" s="78"/>
    </row>
    <row r="102" spans="1:7" ht="20.25">
      <c r="A102" s="349"/>
      <c r="B102" s="354"/>
      <c r="C102" s="354"/>
      <c r="D102" s="353"/>
      <c r="E102" s="296" t="s">
        <v>697</v>
      </c>
      <c r="F102" s="77" t="s">
        <v>839</v>
      </c>
      <c r="G102" s="78"/>
    </row>
    <row r="103" spans="1:7" ht="40.5">
      <c r="A103" s="349"/>
      <c r="B103" s="354"/>
      <c r="C103" s="354"/>
      <c r="D103" s="353"/>
      <c r="E103" s="296" t="s">
        <v>698</v>
      </c>
      <c r="F103" s="77" t="s">
        <v>839</v>
      </c>
      <c r="G103" s="78"/>
    </row>
    <row r="104" spans="1:7" ht="40.5">
      <c r="A104" s="349"/>
      <c r="B104" s="354"/>
      <c r="C104" s="354"/>
      <c r="D104" s="353" t="s">
        <v>699</v>
      </c>
      <c r="E104" s="296" t="s">
        <v>700</v>
      </c>
      <c r="F104" s="77" t="s">
        <v>839</v>
      </c>
      <c r="G104" s="78"/>
    </row>
    <row r="105" spans="1:7" ht="40.5">
      <c r="A105" s="349"/>
      <c r="B105" s="354"/>
      <c r="C105" s="354"/>
      <c r="D105" s="353"/>
      <c r="E105" s="296" t="s">
        <v>701</v>
      </c>
      <c r="F105" s="77" t="s">
        <v>839</v>
      </c>
      <c r="G105" s="78"/>
    </row>
    <row r="106" spans="1:7" ht="60.75">
      <c r="A106" s="349"/>
      <c r="B106" s="354"/>
      <c r="C106" s="354"/>
      <c r="D106" s="353"/>
      <c r="E106" s="296" t="s">
        <v>702</v>
      </c>
      <c r="F106" s="77" t="s">
        <v>839</v>
      </c>
      <c r="G106" s="78"/>
    </row>
    <row r="107" spans="1:7" ht="40.5">
      <c r="A107" s="349"/>
      <c r="B107" s="354"/>
      <c r="C107" s="354"/>
      <c r="D107" s="353"/>
      <c r="E107" s="296" t="s">
        <v>703</v>
      </c>
      <c r="F107" s="77" t="s">
        <v>839</v>
      </c>
      <c r="G107" s="78"/>
    </row>
    <row r="108" spans="1:7" ht="81">
      <c r="A108" s="349"/>
      <c r="B108" s="354"/>
      <c r="C108" s="354"/>
      <c r="D108" s="353" t="s">
        <v>704</v>
      </c>
      <c r="E108" s="296" t="s">
        <v>705</v>
      </c>
      <c r="F108" s="77" t="s">
        <v>839</v>
      </c>
      <c r="G108" s="78"/>
    </row>
    <row r="109" spans="1:7" ht="60.75">
      <c r="A109" s="349"/>
      <c r="B109" s="354"/>
      <c r="C109" s="354"/>
      <c r="D109" s="353"/>
      <c r="E109" s="296" t="s">
        <v>706</v>
      </c>
      <c r="F109" s="77" t="s">
        <v>839</v>
      </c>
      <c r="G109" s="78"/>
    </row>
    <row r="110" spans="1:7" ht="60.75">
      <c r="A110" s="349"/>
      <c r="B110" s="354"/>
      <c r="C110" s="354"/>
      <c r="D110" s="353"/>
      <c r="E110" s="296" t="s">
        <v>707</v>
      </c>
      <c r="F110" s="77" t="s">
        <v>839</v>
      </c>
      <c r="G110" s="78"/>
    </row>
    <row r="111" spans="1:7" ht="20.25">
      <c r="A111" s="349"/>
      <c r="B111" s="354"/>
      <c r="C111" s="354"/>
      <c r="D111" s="353" t="s">
        <v>708</v>
      </c>
      <c r="E111" s="296" t="s">
        <v>709</v>
      </c>
      <c r="F111" s="77" t="s">
        <v>839</v>
      </c>
      <c r="G111" s="78"/>
    </row>
    <row r="112" spans="1:7" ht="20.25">
      <c r="A112" s="349"/>
      <c r="B112" s="354"/>
      <c r="C112" s="354"/>
      <c r="D112" s="353"/>
      <c r="E112" s="296" t="s">
        <v>710</v>
      </c>
      <c r="F112" s="77" t="s">
        <v>839</v>
      </c>
      <c r="G112" s="78"/>
    </row>
    <row r="113" spans="1:7" ht="60.75">
      <c r="A113" s="349"/>
      <c r="B113" s="354"/>
      <c r="C113" s="354"/>
      <c r="D113" s="353"/>
      <c r="E113" s="296" t="s">
        <v>711</v>
      </c>
      <c r="F113" s="77" t="s">
        <v>839</v>
      </c>
      <c r="G113" s="78"/>
    </row>
    <row r="114" spans="1:7" ht="40.5">
      <c r="A114" s="349"/>
      <c r="B114" s="354"/>
      <c r="C114" s="354"/>
      <c r="D114" s="353" t="s">
        <v>712</v>
      </c>
      <c r="E114" s="296" t="s">
        <v>713</v>
      </c>
      <c r="F114" s="77" t="s">
        <v>839</v>
      </c>
      <c r="G114" s="78"/>
    </row>
    <row r="115" spans="1:7" ht="40.5">
      <c r="A115" s="349"/>
      <c r="B115" s="354"/>
      <c r="C115" s="354"/>
      <c r="D115" s="353"/>
      <c r="E115" s="296" t="s">
        <v>714</v>
      </c>
      <c r="F115" s="77" t="s">
        <v>839</v>
      </c>
      <c r="G115" s="78"/>
    </row>
    <row r="116" spans="1:7" ht="20.25">
      <c r="A116" s="349"/>
      <c r="B116" s="78"/>
      <c r="C116" s="78"/>
      <c r="D116" s="78"/>
      <c r="E116" s="78"/>
      <c r="F116" s="78"/>
      <c r="G116" s="78"/>
    </row>
    <row r="117" spans="1:7" ht="162">
      <c r="A117" s="349"/>
      <c r="B117" s="353" t="s">
        <v>715</v>
      </c>
      <c r="C117" s="353" t="s">
        <v>716</v>
      </c>
      <c r="D117" s="296" t="s">
        <v>717</v>
      </c>
      <c r="E117" s="296" t="s">
        <v>718</v>
      </c>
      <c r="F117" s="77" t="s">
        <v>839</v>
      </c>
      <c r="G117" s="78"/>
    </row>
    <row r="118" spans="1:7" ht="101.25">
      <c r="A118" s="349"/>
      <c r="B118" s="353"/>
      <c r="C118" s="353"/>
      <c r="D118" s="296" t="s">
        <v>719</v>
      </c>
      <c r="E118" s="296" t="s">
        <v>720</v>
      </c>
      <c r="F118" s="77" t="s">
        <v>839</v>
      </c>
      <c r="G118" s="78"/>
    </row>
    <row r="119" spans="1:7" ht="81">
      <c r="A119" s="349"/>
      <c r="B119" s="353"/>
      <c r="C119" s="353"/>
      <c r="D119" s="353" t="s">
        <v>721</v>
      </c>
      <c r="E119" s="296" t="s">
        <v>722</v>
      </c>
      <c r="F119" s="77" t="s">
        <v>839</v>
      </c>
      <c r="G119" s="78"/>
    </row>
    <row r="120" spans="1:7" ht="121.5">
      <c r="A120" s="349"/>
      <c r="B120" s="353"/>
      <c r="C120" s="353"/>
      <c r="D120" s="353"/>
      <c r="E120" s="296" t="s">
        <v>723</v>
      </c>
      <c r="F120" s="77" t="s">
        <v>839</v>
      </c>
      <c r="G120" s="78"/>
    </row>
    <row r="121" spans="1:7" ht="121.5">
      <c r="A121" s="349"/>
      <c r="B121" s="353"/>
      <c r="C121" s="353"/>
      <c r="D121" s="353" t="s">
        <v>724</v>
      </c>
      <c r="E121" s="296" t="s">
        <v>725</v>
      </c>
      <c r="F121" s="77" t="s">
        <v>839</v>
      </c>
      <c r="G121" s="78"/>
    </row>
    <row r="122" spans="1:7" ht="40.5">
      <c r="A122" s="349"/>
      <c r="B122" s="353"/>
      <c r="C122" s="353"/>
      <c r="D122" s="353"/>
      <c r="E122" s="296" t="s">
        <v>726</v>
      </c>
      <c r="F122" s="77" t="s">
        <v>839</v>
      </c>
      <c r="G122" s="78"/>
    </row>
    <row r="123" spans="1:7" ht="60.75">
      <c r="A123" s="349"/>
      <c r="B123" s="353"/>
      <c r="C123" s="353"/>
      <c r="D123" s="353" t="s">
        <v>727</v>
      </c>
      <c r="E123" s="296" t="s">
        <v>728</v>
      </c>
      <c r="F123" s="77" t="s">
        <v>839</v>
      </c>
      <c r="G123" s="78"/>
    </row>
    <row r="124" spans="1:7" ht="81">
      <c r="A124" s="349"/>
      <c r="B124" s="353"/>
      <c r="C124" s="353"/>
      <c r="D124" s="353"/>
      <c r="E124" s="296" t="s">
        <v>729</v>
      </c>
      <c r="F124" s="77" t="s">
        <v>839</v>
      </c>
      <c r="G124" s="78"/>
    </row>
    <row r="126" spans="1:7" ht="60.75">
      <c r="A126" s="362" t="s">
        <v>590</v>
      </c>
      <c r="B126" s="355" t="s">
        <v>840</v>
      </c>
      <c r="C126" s="355" t="s">
        <v>591</v>
      </c>
      <c r="D126" s="358" t="s">
        <v>592</v>
      </c>
      <c r="E126" s="297" t="s">
        <v>593</v>
      </c>
      <c r="F126" s="294" t="s">
        <v>839</v>
      </c>
      <c r="G126" s="295"/>
    </row>
    <row r="127" spans="1:7" ht="60.75">
      <c r="A127" s="363"/>
      <c r="B127" s="356"/>
      <c r="C127" s="356"/>
      <c r="D127" s="358"/>
      <c r="E127" s="297" t="s">
        <v>594</v>
      </c>
      <c r="F127" s="294" t="s">
        <v>839</v>
      </c>
      <c r="G127" s="295"/>
    </row>
    <row r="128" spans="1:7" ht="40.5">
      <c r="A128" s="363"/>
      <c r="B128" s="356"/>
      <c r="C128" s="356"/>
      <c r="D128" s="358"/>
      <c r="E128" s="297" t="s">
        <v>595</v>
      </c>
      <c r="F128" s="294" t="s">
        <v>839</v>
      </c>
      <c r="G128" s="295"/>
    </row>
    <row r="129" spans="1:7" ht="20.25">
      <c r="A129" s="363"/>
      <c r="B129" s="356"/>
      <c r="C129" s="356"/>
      <c r="D129" s="358"/>
      <c r="E129" s="297" t="s">
        <v>596</v>
      </c>
      <c r="F129" s="294" t="s">
        <v>839</v>
      </c>
      <c r="G129" s="295"/>
    </row>
    <row r="130" spans="1:7" ht="40.5">
      <c r="A130" s="363"/>
      <c r="B130" s="356"/>
      <c r="C130" s="356"/>
      <c r="D130" s="358" t="s">
        <v>597</v>
      </c>
      <c r="E130" s="297" t="s">
        <v>598</v>
      </c>
      <c r="F130" s="294" t="s">
        <v>839</v>
      </c>
      <c r="G130" s="295"/>
    </row>
    <row r="131" spans="1:7" ht="81">
      <c r="A131" s="363"/>
      <c r="B131" s="356"/>
      <c r="C131" s="356"/>
      <c r="D131" s="358"/>
      <c r="E131" s="297" t="s">
        <v>599</v>
      </c>
      <c r="F131" s="294" t="s">
        <v>839</v>
      </c>
      <c r="G131" s="295"/>
    </row>
    <row r="132" spans="1:7" ht="60.75">
      <c r="A132" s="363"/>
      <c r="B132" s="356"/>
      <c r="C132" s="356"/>
      <c r="D132" s="358"/>
      <c r="E132" s="297" t="s">
        <v>600</v>
      </c>
      <c r="F132" s="294" t="s">
        <v>839</v>
      </c>
      <c r="G132" s="295"/>
    </row>
    <row r="133" spans="1:7" ht="60.75">
      <c r="A133" s="363"/>
      <c r="B133" s="356"/>
      <c r="C133" s="356"/>
      <c r="D133" s="358"/>
      <c r="E133" s="297" t="s">
        <v>601</v>
      </c>
      <c r="F133" s="294" t="s">
        <v>839</v>
      </c>
      <c r="G133" s="295"/>
    </row>
    <row r="134" spans="1:7" ht="20.25">
      <c r="A134" s="363"/>
      <c r="B134" s="356"/>
      <c r="C134" s="356"/>
      <c r="D134" s="358" t="s">
        <v>602</v>
      </c>
      <c r="E134" s="297" t="s">
        <v>603</v>
      </c>
      <c r="F134" s="294" t="s">
        <v>839</v>
      </c>
      <c r="G134" s="295"/>
    </row>
    <row r="135" spans="1:7" ht="40.5">
      <c r="A135" s="363"/>
      <c r="B135" s="356"/>
      <c r="C135" s="356"/>
      <c r="D135" s="358"/>
      <c r="E135" s="297" t="s">
        <v>604</v>
      </c>
      <c r="F135" s="294" t="s">
        <v>839</v>
      </c>
      <c r="G135" s="295"/>
    </row>
    <row r="136" spans="1:7" ht="40.5">
      <c r="A136" s="363"/>
      <c r="B136" s="356"/>
      <c r="C136" s="356"/>
      <c r="D136" s="358"/>
      <c r="E136" s="297" t="s">
        <v>605</v>
      </c>
      <c r="F136" s="294" t="s">
        <v>839</v>
      </c>
      <c r="G136" s="295"/>
    </row>
    <row r="137" spans="1:7" ht="60.75">
      <c r="A137" s="363"/>
      <c r="B137" s="356"/>
      <c r="C137" s="356"/>
      <c r="D137" s="358"/>
      <c r="E137" s="297" t="s">
        <v>606</v>
      </c>
      <c r="F137" s="294" t="s">
        <v>839</v>
      </c>
      <c r="G137" s="295"/>
    </row>
    <row r="138" spans="1:7" ht="40.5">
      <c r="A138" s="363"/>
      <c r="B138" s="356"/>
      <c r="C138" s="356"/>
      <c r="D138" s="358" t="s">
        <v>607</v>
      </c>
      <c r="E138" s="297" t="s">
        <v>608</v>
      </c>
      <c r="F138" s="294" t="s">
        <v>839</v>
      </c>
      <c r="G138" s="295"/>
    </row>
    <row r="139" spans="1:7" ht="81">
      <c r="A139" s="363"/>
      <c r="B139" s="356"/>
      <c r="C139" s="356"/>
      <c r="D139" s="358"/>
      <c r="E139" s="297" t="s">
        <v>609</v>
      </c>
      <c r="F139" s="294" t="s">
        <v>839</v>
      </c>
      <c r="G139" s="295"/>
    </row>
    <row r="140" spans="1:7" ht="60.75">
      <c r="A140" s="363"/>
      <c r="B140" s="356"/>
      <c r="C140" s="356"/>
      <c r="D140" s="358"/>
      <c r="E140" s="297" t="s">
        <v>610</v>
      </c>
      <c r="F140" s="294" t="s">
        <v>839</v>
      </c>
      <c r="G140" s="295"/>
    </row>
    <row r="141" spans="1:7" ht="60.75">
      <c r="A141" s="363"/>
      <c r="B141" s="356"/>
      <c r="C141" s="356"/>
      <c r="D141" s="358" t="s">
        <v>611</v>
      </c>
      <c r="E141" s="297" t="s">
        <v>612</v>
      </c>
      <c r="F141" s="294" t="s">
        <v>839</v>
      </c>
      <c r="G141" s="295"/>
    </row>
    <row r="142" spans="1:7" ht="81">
      <c r="A142" s="363"/>
      <c r="B142" s="356"/>
      <c r="C142" s="356"/>
      <c r="D142" s="358"/>
      <c r="E142" s="297" t="s">
        <v>613</v>
      </c>
      <c r="F142" s="294" t="s">
        <v>839</v>
      </c>
      <c r="G142" s="295"/>
    </row>
    <row r="143" spans="1:7" ht="60.75">
      <c r="A143" s="363"/>
      <c r="B143" s="357"/>
      <c r="C143" s="357"/>
      <c r="D143" s="358"/>
      <c r="E143" s="297" t="s">
        <v>614</v>
      </c>
      <c r="F143" s="294" t="s">
        <v>839</v>
      </c>
      <c r="G143" s="295"/>
    </row>
    <row r="144" spans="1:7" ht="60.75">
      <c r="A144" s="363"/>
      <c r="B144" s="359" t="s">
        <v>841</v>
      </c>
      <c r="C144" s="359" t="s">
        <v>615</v>
      </c>
      <c r="D144" s="358" t="s">
        <v>616</v>
      </c>
      <c r="E144" s="297" t="s">
        <v>617</v>
      </c>
      <c r="F144" s="294" t="s">
        <v>839</v>
      </c>
      <c r="G144" s="295"/>
    </row>
    <row r="145" spans="1:7" ht="60.75">
      <c r="A145" s="363"/>
      <c r="B145" s="360"/>
      <c r="C145" s="360"/>
      <c r="D145" s="358"/>
      <c r="E145" s="297" t="s">
        <v>618</v>
      </c>
      <c r="F145" s="294" t="s">
        <v>839</v>
      </c>
      <c r="G145" s="295"/>
    </row>
    <row r="146" spans="1:7" ht="60.75">
      <c r="A146" s="363"/>
      <c r="B146" s="360"/>
      <c r="C146" s="360"/>
      <c r="D146" s="358" t="s">
        <v>619</v>
      </c>
      <c r="E146" s="297" t="s">
        <v>620</v>
      </c>
      <c r="F146" s="294" t="s">
        <v>839</v>
      </c>
      <c r="G146" s="295"/>
    </row>
    <row r="147" spans="1:7" ht="60.75">
      <c r="A147" s="363"/>
      <c r="B147" s="360"/>
      <c r="C147" s="360"/>
      <c r="D147" s="358"/>
      <c r="E147" s="297" t="s">
        <v>621</v>
      </c>
      <c r="F147" s="294" t="s">
        <v>839</v>
      </c>
      <c r="G147" s="295"/>
    </row>
    <row r="148" spans="1:7" ht="60.75">
      <c r="A148" s="363"/>
      <c r="B148" s="360"/>
      <c r="C148" s="360"/>
      <c r="D148" s="358"/>
      <c r="E148" s="297" t="s">
        <v>622</v>
      </c>
      <c r="F148" s="294" t="s">
        <v>839</v>
      </c>
      <c r="G148" s="295"/>
    </row>
    <row r="149" spans="1:7" ht="60.75">
      <c r="A149" s="363"/>
      <c r="B149" s="360"/>
      <c r="C149" s="360"/>
      <c r="D149" s="358" t="s">
        <v>623</v>
      </c>
      <c r="E149" s="297" t="s">
        <v>624</v>
      </c>
      <c r="F149" s="294" t="s">
        <v>839</v>
      </c>
      <c r="G149" s="295"/>
    </row>
    <row r="150" spans="1:7" ht="60.75">
      <c r="A150" s="363"/>
      <c r="B150" s="360"/>
      <c r="C150" s="360"/>
      <c r="D150" s="358"/>
      <c r="E150" s="297" t="s">
        <v>625</v>
      </c>
      <c r="F150" s="294" t="s">
        <v>839</v>
      </c>
      <c r="G150" s="295"/>
    </row>
    <row r="151" spans="1:7" ht="40.5">
      <c r="A151" s="363"/>
      <c r="B151" s="360"/>
      <c r="C151" s="360"/>
      <c r="D151" s="358"/>
      <c r="E151" s="297" t="s">
        <v>626</v>
      </c>
      <c r="F151" s="294" t="s">
        <v>839</v>
      </c>
      <c r="G151" s="295"/>
    </row>
    <row r="152" spans="1:7" ht="81">
      <c r="A152" s="363"/>
      <c r="B152" s="360"/>
      <c r="C152" s="360"/>
      <c r="D152" s="358"/>
      <c r="E152" s="297" t="s">
        <v>627</v>
      </c>
      <c r="F152" s="294" t="s">
        <v>839</v>
      </c>
      <c r="G152" s="295"/>
    </row>
    <row r="153" spans="1:7" ht="40.5">
      <c r="A153" s="363"/>
      <c r="B153" s="360"/>
      <c r="C153" s="360"/>
      <c r="D153" s="358" t="s">
        <v>628</v>
      </c>
      <c r="E153" s="297" t="s">
        <v>629</v>
      </c>
      <c r="F153" s="294" t="s">
        <v>839</v>
      </c>
      <c r="G153" s="295"/>
    </row>
    <row r="154" spans="1:7" ht="81">
      <c r="A154" s="363"/>
      <c r="B154" s="360"/>
      <c r="C154" s="360"/>
      <c r="D154" s="358"/>
      <c r="E154" s="297" t="s">
        <v>630</v>
      </c>
      <c r="F154" s="294" t="s">
        <v>839</v>
      </c>
      <c r="G154" s="295"/>
    </row>
    <row r="155" spans="1:7" ht="81">
      <c r="A155" s="363"/>
      <c r="B155" s="360"/>
      <c r="C155" s="360"/>
      <c r="D155" s="358" t="s">
        <v>631</v>
      </c>
      <c r="E155" s="297" t="s">
        <v>632</v>
      </c>
      <c r="F155" s="294" t="s">
        <v>839</v>
      </c>
      <c r="G155" s="295"/>
    </row>
    <row r="156" spans="1:7" ht="121.5">
      <c r="A156" s="363"/>
      <c r="B156" s="361"/>
      <c r="C156" s="361"/>
      <c r="D156" s="358"/>
      <c r="E156" s="297" t="s">
        <v>633</v>
      </c>
      <c r="F156" s="294" t="s">
        <v>839</v>
      </c>
      <c r="G156" s="295"/>
    </row>
    <row r="157" spans="1:7" ht="60.75">
      <c r="A157" s="363"/>
      <c r="B157" s="355" t="s">
        <v>842</v>
      </c>
      <c r="C157" s="355" t="s">
        <v>634</v>
      </c>
      <c r="D157" s="358" t="s">
        <v>635</v>
      </c>
      <c r="E157" s="297" t="s">
        <v>636</v>
      </c>
      <c r="F157" s="294" t="s">
        <v>839</v>
      </c>
      <c r="G157" s="295"/>
    </row>
    <row r="158" spans="1:7" ht="40.5">
      <c r="A158" s="363"/>
      <c r="B158" s="356"/>
      <c r="C158" s="356"/>
      <c r="D158" s="358"/>
      <c r="E158" s="297" t="s">
        <v>637</v>
      </c>
      <c r="F158" s="294" t="s">
        <v>839</v>
      </c>
      <c r="G158" s="295"/>
    </row>
    <row r="159" spans="1:7" ht="60.75">
      <c r="A159" s="363"/>
      <c r="B159" s="356"/>
      <c r="C159" s="356"/>
      <c r="D159" s="358"/>
      <c r="E159" s="297" t="s">
        <v>638</v>
      </c>
      <c r="F159" s="294" t="s">
        <v>839</v>
      </c>
      <c r="G159" s="295"/>
    </row>
    <row r="160" spans="1:7" ht="81">
      <c r="A160" s="363"/>
      <c r="B160" s="356"/>
      <c r="C160" s="356"/>
      <c r="D160" s="358" t="s">
        <v>639</v>
      </c>
      <c r="E160" s="297" t="s">
        <v>640</v>
      </c>
      <c r="F160" s="294" t="s">
        <v>839</v>
      </c>
      <c r="G160" s="295"/>
    </row>
    <row r="161" spans="1:7" ht="60.75">
      <c r="A161" s="363"/>
      <c r="B161" s="356"/>
      <c r="C161" s="356"/>
      <c r="D161" s="358"/>
      <c r="E161" s="297" t="s">
        <v>641</v>
      </c>
      <c r="F161" s="294" t="s">
        <v>839</v>
      </c>
      <c r="G161" s="295"/>
    </row>
    <row r="162" spans="1:7" ht="40.5">
      <c r="A162" s="363"/>
      <c r="B162" s="356"/>
      <c r="C162" s="356"/>
      <c r="D162" s="358"/>
      <c r="E162" s="297" t="s">
        <v>642</v>
      </c>
      <c r="F162" s="294" t="s">
        <v>839</v>
      </c>
      <c r="G162" s="295"/>
    </row>
    <row r="163" spans="1:7" ht="60.75">
      <c r="A163" s="363"/>
      <c r="B163" s="356"/>
      <c r="C163" s="356"/>
      <c r="D163" s="358" t="s">
        <v>643</v>
      </c>
      <c r="E163" s="297" t="s">
        <v>644</v>
      </c>
      <c r="F163" s="294" t="s">
        <v>839</v>
      </c>
      <c r="G163" s="295"/>
    </row>
    <row r="164" spans="1:7" ht="101.25">
      <c r="A164" s="363"/>
      <c r="B164" s="356"/>
      <c r="C164" s="356"/>
      <c r="D164" s="358"/>
      <c r="E164" s="297" t="s">
        <v>645</v>
      </c>
      <c r="F164" s="294" t="s">
        <v>839</v>
      </c>
      <c r="G164" s="295"/>
    </row>
    <row r="165" spans="1:7" ht="81">
      <c r="A165" s="363"/>
      <c r="B165" s="356"/>
      <c r="C165" s="356"/>
      <c r="D165" s="358" t="s">
        <v>646</v>
      </c>
      <c r="E165" s="297" t="s">
        <v>647</v>
      </c>
      <c r="F165" s="294" t="s">
        <v>839</v>
      </c>
      <c r="G165" s="295"/>
    </row>
    <row r="166" spans="1:7" ht="81">
      <c r="A166" s="363"/>
      <c r="B166" s="356"/>
      <c r="C166" s="356"/>
      <c r="D166" s="358"/>
      <c r="E166" s="297" t="s">
        <v>648</v>
      </c>
      <c r="F166" s="294" t="s">
        <v>839</v>
      </c>
      <c r="G166" s="295"/>
    </row>
    <row r="167" spans="1:7" ht="60.75">
      <c r="A167" s="363"/>
      <c r="B167" s="356"/>
      <c r="C167" s="356"/>
      <c r="D167" s="358" t="s">
        <v>649</v>
      </c>
      <c r="E167" s="297" t="s">
        <v>650</v>
      </c>
      <c r="F167" s="294" t="s">
        <v>839</v>
      </c>
      <c r="G167" s="295"/>
    </row>
    <row r="168" spans="1:7" ht="81">
      <c r="A168" s="363"/>
      <c r="B168" s="357"/>
      <c r="C168" s="357"/>
      <c r="D168" s="358"/>
      <c r="E168" s="297" t="s">
        <v>651</v>
      </c>
      <c r="F168" s="294" t="s">
        <v>839</v>
      </c>
      <c r="G168" s="295"/>
    </row>
    <row r="169" spans="1:7" ht="40.5">
      <c r="A169" s="363"/>
      <c r="B169" s="355" t="s">
        <v>843</v>
      </c>
      <c r="C169" s="355" t="s">
        <v>652</v>
      </c>
      <c r="D169" s="358" t="s">
        <v>653</v>
      </c>
      <c r="E169" s="297" t="s">
        <v>654</v>
      </c>
      <c r="F169" s="294" t="s">
        <v>839</v>
      </c>
      <c r="G169" s="295"/>
    </row>
    <row r="170" spans="1:7" ht="40.5">
      <c r="A170" s="363"/>
      <c r="B170" s="356"/>
      <c r="C170" s="356"/>
      <c r="D170" s="358"/>
      <c r="E170" s="297" t="s">
        <v>655</v>
      </c>
      <c r="F170" s="294" t="s">
        <v>839</v>
      </c>
      <c r="G170" s="295"/>
    </row>
    <row r="171" spans="1:7" ht="20.25">
      <c r="A171" s="363"/>
      <c r="B171" s="356"/>
      <c r="C171" s="356"/>
      <c r="D171" s="358"/>
      <c r="E171" s="297" t="s">
        <v>656</v>
      </c>
      <c r="F171" s="294" t="s">
        <v>839</v>
      </c>
      <c r="G171" s="295"/>
    </row>
    <row r="172" spans="1:7" ht="81">
      <c r="A172" s="363"/>
      <c r="B172" s="356"/>
      <c r="C172" s="356"/>
      <c r="D172" s="358" t="s">
        <v>657</v>
      </c>
      <c r="E172" s="297" t="s">
        <v>658</v>
      </c>
      <c r="F172" s="294" t="s">
        <v>839</v>
      </c>
      <c r="G172" s="295"/>
    </row>
    <row r="173" spans="1:7" ht="60.75">
      <c r="A173" s="363"/>
      <c r="B173" s="356"/>
      <c r="C173" s="356"/>
      <c r="D173" s="358"/>
      <c r="E173" s="297" t="s">
        <v>659</v>
      </c>
      <c r="F173" s="294" t="s">
        <v>839</v>
      </c>
      <c r="G173" s="295"/>
    </row>
    <row r="174" spans="1:7" ht="40.5">
      <c r="A174" s="363"/>
      <c r="B174" s="356"/>
      <c r="C174" s="356"/>
      <c r="D174" s="358" t="s">
        <v>660</v>
      </c>
      <c r="E174" s="297" t="s">
        <v>661</v>
      </c>
      <c r="F174" s="294" t="s">
        <v>839</v>
      </c>
      <c r="G174" s="295"/>
    </row>
    <row r="175" spans="1:7" ht="101.25">
      <c r="A175" s="363"/>
      <c r="B175" s="356"/>
      <c r="C175" s="356"/>
      <c r="D175" s="358"/>
      <c r="E175" s="297" t="s">
        <v>662</v>
      </c>
      <c r="F175" s="294" t="s">
        <v>839</v>
      </c>
      <c r="G175" s="295"/>
    </row>
    <row r="176" spans="1:7" ht="81">
      <c r="A176" s="363"/>
      <c r="B176" s="356"/>
      <c r="C176" s="356"/>
      <c r="D176" s="358"/>
      <c r="E176" s="297" t="s">
        <v>663</v>
      </c>
      <c r="F176" s="294" t="s">
        <v>839</v>
      </c>
      <c r="G176" s="295"/>
    </row>
    <row r="177" spans="1:7" ht="40.5">
      <c r="A177" s="363"/>
      <c r="B177" s="356"/>
      <c r="C177" s="356"/>
      <c r="D177" s="358"/>
      <c r="E177" s="297" t="s">
        <v>664</v>
      </c>
      <c r="F177" s="294" t="s">
        <v>839</v>
      </c>
      <c r="G177" s="295"/>
    </row>
    <row r="178" spans="1:7" ht="60.75">
      <c r="A178" s="363"/>
      <c r="B178" s="356"/>
      <c r="C178" s="356"/>
      <c r="D178" s="358" t="s">
        <v>665</v>
      </c>
      <c r="E178" s="297" t="s">
        <v>666</v>
      </c>
      <c r="F178" s="294" t="s">
        <v>839</v>
      </c>
      <c r="G178" s="295"/>
    </row>
    <row r="179" spans="1:7" ht="81">
      <c r="A179" s="363"/>
      <c r="B179" s="356"/>
      <c r="C179" s="356"/>
      <c r="D179" s="358"/>
      <c r="E179" s="297" t="s">
        <v>667</v>
      </c>
      <c r="F179" s="294" t="s">
        <v>839</v>
      </c>
      <c r="G179" s="295"/>
    </row>
    <row r="180" spans="1:7" ht="60.75">
      <c r="A180" s="363"/>
      <c r="B180" s="356"/>
      <c r="C180" s="356"/>
      <c r="D180" s="358"/>
      <c r="E180" s="297" t="s">
        <v>668</v>
      </c>
      <c r="F180" s="294" t="s">
        <v>839</v>
      </c>
      <c r="G180" s="295"/>
    </row>
    <row r="181" spans="1:7" ht="60.75">
      <c r="A181" s="363"/>
      <c r="B181" s="356"/>
      <c r="C181" s="356"/>
      <c r="D181" s="358" t="s">
        <v>669</v>
      </c>
      <c r="E181" s="297" t="s">
        <v>670</v>
      </c>
      <c r="F181" s="294" t="s">
        <v>839</v>
      </c>
      <c r="G181" s="295"/>
    </row>
    <row r="182" spans="1:7" ht="60.75">
      <c r="A182" s="364"/>
      <c r="B182" s="357"/>
      <c r="C182" s="357"/>
      <c r="D182" s="358"/>
      <c r="E182" s="297" t="s">
        <v>671</v>
      </c>
      <c r="F182" s="294" t="s">
        <v>839</v>
      </c>
      <c r="G182" s="295"/>
    </row>
  </sheetData>
  <sheetProtection/>
  <mergeCells count="83">
    <mergeCell ref="D78:D81"/>
    <mergeCell ref="B66:B85"/>
    <mergeCell ref="D82:D85"/>
    <mergeCell ref="B47:B64"/>
    <mergeCell ref="C47:C64"/>
    <mergeCell ref="D47:D50"/>
    <mergeCell ref="D51:D54"/>
    <mergeCell ref="D55:D58"/>
    <mergeCell ref="D59:D62"/>
    <mergeCell ref="D63:D64"/>
    <mergeCell ref="C66:C85"/>
    <mergeCell ref="A126:A182"/>
    <mergeCell ref="B126:B143"/>
    <mergeCell ref="C126:C143"/>
    <mergeCell ref="D126:D129"/>
    <mergeCell ref="D130:D133"/>
    <mergeCell ref="D134:D137"/>
    <mergeCell ref="D138:D140"/>
    <mergeCell ref="D141:D143"/>
    <mergeCell ref="B144:B156"/>
    <mergeCell ref="C144:C156"/>
    <mergeCell ref="D144:D145"/>
    <mergeCell ref="D146:D148"/>
    <mergeCell ref="D149:D152"/>
    <mergeCell ref="D153:D154"/>
    <mergeCell ref="D155:D156"/>
    <mergeCell ref="B157:B168"/>
    <mergeCell ref="C157:C168"/>
    <mergeCell ref="D157:D159"/>
    <mergeCell ref="D160:D162"/>
    <mergeCell ref="D163:D164"/>
    <mergeCell ref="D165:D166"/>
    <mergeCell ref="D167:D168"/>
    <mergeCell ref="B101:B115"/>
    <mergeCell ref="C101:C115"/>
    <mergeCell ref="D101:D103"/>
    <mergeCell ref="B169:B182"/>
    <mergeCell ref="C169:C182"/>
    <mergeCell ref="D169:D171"/>
    <mergeCell ref="D172:D173"/>
    <mergeCell ref="D174:D177"/>
    <mergeCell ref="D178:D180"/>
    <mergeCell ref="D181:D182"/>
    <mergeCell ref="B117:B124"/>
    <mergeCell ref="C117:C124"/>
    <mergeCell ref="D119:D120"/>
    <mergeCell ref="D121:D122"/>
    <mergeCell ref="D123:D124"/>
    <mergeCell ref="B87:B99"/>
    <mergeCell ref="C87:C99"/>
    <mergeCell ref="D87:D88"/>
    <mergeCell ref="D89:D92"/>
    <mergeCell ref="D93:D95"/>
    <mergeCell ref="D29:D30"/>
    <mergeCell ref="D31:D32"/>
    <mergeCell ref="D104:D107"/>
    <mergeCell ref="D108:D110"/>
    <mergeCell ref="D111:D113"/>
    <mergeCell ref="D114:D115"/>
    <mergeCell ref="D96:D98"/>
    <mergeCell ref="D66:D69"/>
    <mergeCell ref="D70:D73"/>
    <mergeCell ref="D74:D77"/>
    <mergeCell ref="C34:C45"/>
    <mergeCell ref="D34:D35"/>
    <mergeCell ref="D37:D39"/>
    <mergeCell ref="D40:D42"/>
    <mergeCell ref="D43:D45"/>
    <mergeCell ref="B23:B32"/>
    <mergeCell ref="C23:C32"/>
    <mergeCell ref="D23:D24"/>
    <mergeCell ref="D25:D26"/>
    <mergeCell ref="D27:D28"/>
    <mergeCell ref="A2:A85"/>
    <mergeCell ref="A87:A124"/>
    <mergeCell ref="B2:B21"/>
    <mergeCell ref="D2:D7"/>
    <mergeCell ref="D8:D12"/>
    <mergeCell ref="D13:D15"/>
    <mergeCell ref="D16:D18"/>
    <mergeCell ref="D19:D21"/>
    <mergeCell ref="C2:C21"/>
    <mergeCell ref="B34:B45"/>
  </mergeCells>
  <dataValidations count="1">
    <dataValidation type="list" allowBlank="1" showInputMessage="1" showErrorMessage="1" sqref="F23:F32 F34:F45 F47:F64 F66:F85 F101:F115 F117:F124 F87:F99 F126:F182 F2:F21">
      <formula1>"มี,ไม่มี"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6"/>
  <sheetViews>
    <sheetView zoomScale="90" zoomScaleNormal="90" zoomScalePageLayoutView="0" workbookViewId="0" topLeftCell="A10">
      <selection activeCell="H15" sqref="H15"/>
    </sheetView>
  </sheetViews>
  <sheetFormatPr defaultColWidth="9.140625" defaultRowHeight="12.75"/>
  <cols>
    <col min="1" max="1" width="23.421875" style="100" customWidth="1"/>
    <col min="2" max="2" width="27.421875" style="100" customWidth="1"/>
    <col min="3" max="7" width="9.140625" style="100" hidden="1" customWidth="1"/>
    <col min="8" max="13" width="9.140625" style="100" customWidth="1"/>
    <col min="14" max="16" width="0" style="100" hidden="1" customWidth="1"/>
    <col min="17" max="17" width="11.00390625" style="100" customWidth="1"/>
    <col min="18" max="18" width="11.421875" style="100" customWidth="1"/>
    <col min="19" max="19" width="11.8515625" style="100" customWidth="1"/>
    <col min="20" max="20" width="14.57421875" style="100" customWidth="1"/>
    <col min="21" max="21" width="28.28125" style="100" customWidth="1"/>
    <col min="22" max="16384" width="9.140625" style="100" customWidth="1"/>
  </cols>
  <sheetData>
    <row r="1" spans="1:21" ht="30">
      <c r="A1" s="397" t="s">
        <v>377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</row>
    <row r="2" spans="1:21" ht="30">
      <c r="A2" s="397" t="s">
        <v>378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</row>
    <row r="3" spans="1:21" ht="23.25">
      <c r="A3" s="208" t="s">
        <v>379</v>
      </c>
      <c r="B3" s="209" t="str">
        <f>ข้อมูลผู้กรอกและสรุปภาระงาน!B16</f>
        <v>รอบที่ 2 เดือนกุมภาพันธ์ 2563 - กรกฎาคม 2563</v>
      </c>
      <c r="C3" s="210"/>
      <c r="D3" s="210"/>
      <c r="E3" s="210"/>
      <c r="F3" s="210"/>
      <c r="G3" s="210"/>
      <c r="H3" s="211"/>
      <c r="I3" s="211"/>
      <c r="J3" s="211"/>
      <c r="K3" s="211"/>
      <c r="L3" s="210"/>
      <c r="M3" s="211"/>
      <c r="N3" s="211"/>
      <c r="O3" s="211"/>
      <c r="P3" s="211"/>
      <c r="Q3" s="211"/>
      <c r="R3" s="211"/>
      <c r="S3" s="211"/>
      <c r="T3" s="211"/>
      <c r="U3" s="211"/>
    </row>
    <row r="4" spans="1:21" ht="23.25">
      <c r="A4" s="208" t="str">
        <f>"ชื่อผู้รับการประเมิน"</f>
        <v>ชื่อผู้รับการประเมิน</v>
      </c>
      <c r="B4" s="212" t="str">
        <f>ข้อมูลผู้กรอกและสรุปภาระงาน!B11</f>
        <v>ชื่ออาจารย์</v>
      </c>
      <c r="C4" s="211"/>
      <c r="D4" s="211"/>
      <c r="E4" s="211"/>
      <c r="F4" s="211"/>
      <c r="G4" s="211"/>
      <c r="H4" s="211"/>
      <c r="I4" s="211"/>
      <c r="J4" s="211"/>
      <c r="K4" s="211"/>
      <c r="L4" s="208" t="s">
        <v>380</v>
      </c>
      <c r="M4" s="211"/>
      <c r="N4" s="211"/>
      <c r="O4" s="211"/>
      <c r="P4" s="211"/>
      <c r="Q4" s="211"/>
      <c r="R4" s="211" t="str">
        <f>ข้อมูลผู้กรอกและสรุปภาระงาน!B13</f>
        <v>-</v>
      </c>
      <c r="S4" s="211"/>
      <c r="T4" s="211"/>
      <c r="U4" s="211"/>
    </row>
    <row r="5" spans="1:21" ht="23.25">
      <c r="A5" s="208" t="s">
        <v>381</v>
      </c>
      <c r="B5" s="212" t="str">
        <f>ข้อมูลผู้กรอกและสรุปภาระงาน!B12</f>
        <v>ชื่อภาควิชา</v>
      </c>
      <c r="C5" s="211"/>
      <c r="D5" s="211"/>
      <c r="E5" s="211"/>
      <c r="F5" s="211"/>
      <c r="G5" s="211"/>
      <c r="H5" s="211"/>
      <c r="I5" s="211"/>
      <c r="J5" s="211"/>
      <c r="K5" s="211"/>
      <c r="L5" s="208" t="s">
        <v>382</v>
      </c>
      <c r="M5" s="211"/>
      <c r="N5" s="211"/>
      <c r="O5" s="211"/>
      <c r="P5" s="211"/>
      <c r="Q5" s="211"/>
      <c r="R5" s="211" t="str">
        <f>ข้อมูลผู้กรอกและสรุปภาระงาน!B14</f>
        <v>อาจารย์</v>
      </c>
      <c r="S5" s="211"/>
      <c r="T5" s="211"/>
      <c r="U5" s="211"/>
    </row>
    <row r="6" spans="1:21" ht="23.25">
      <c r="A6" s="213" t="s">
        <v>525</v>
      </c>
      <c r="B6" s="409" t="str">
        <f>ข้อมูลผู้กรอกและสรุปภาระงาน!B15</f>
        <v>ชื่อผู้ประเมิน</v>
      </c>
      <c r="C6" s="409"/>
      <c r="D6" s="409"/>
      <c r="E6" s="409"/>
      <c r="F6" s="409"/>
      <c r="G6" s="409"/>
      <c r="H6" s="409"/>
      <c r="I6" s="409"/>
      <c r="J6" s="409"/>
      <c r="K6" s="409"/>
      <c r="L6" s="208" t="s">
        <v>526</v>
      </c>
      <c r="M6" s="211"/>
      <c r="N6" s="211"/>
      <c r="O6" s="211"/>
      <c r="P6" s="211"/>
      <c r="Q6" s="211"/>
      <c r="R6" s="211" t="str">
        <f>ข้อมูลผู้กรอกและสรุปภาระงาน!D15</f>
        <v>หัวหน้าภาควิชา</v>
      </c>
      <c r="S6" s="211"/>
      <c r="T6" s="211"/>
      <c r="U6" s="211"/>
    </row>
    <row r="7" spans="1:21" ht="22.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</row>
    <row r="8" spans="1:21" ht="26.25">
      <c r="A8" s="214" t="s">
        <v>383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1" s="101" customFormat="1" ht="21">
      <c r="A9" s="398" t="s">
        <v>384</v>
      </c>
      <c r="B9" s="398" t="s">
        <v>385</v>
      </c>
      <c r="C9" s="215"/>
      <c r="D9" s="215"/>
      <c r="E9" s="215"/>
      <c r="F9" s="215"/>
      <c r="G9" s="215"/>
      <c r="H9" s="400" t="s">
        <v>386</v>
      </c>
      <c r="I9" s="401"/>
      <c r="J9" s="401"/>
      <c r="K9" s="401"/>
      <c r="L9" s="401"/>
      <c r="M9" s="398" t="s">
        <v>387</v>
      </c>
      <c r="N9" s="215"/>
      <c r="O9" s="215"/>
      <c r="P9" s="215"/>
      <c r="Q9" s="402" t="s">
        <v>388</v>
      </c>
      <c r="R9" s="403"/>
      <c r="S9" s="404"/>
      <c r="T9" s="405" t="s">
        <v>389</v>
      </c>
      <c r="U9" s="407" t="s">
        <v>390</v>
      </c>
    </row>
    <row r="10" spans="1:21" s="101" customFormat="1" ht="42.75" customHeight="1">
      <c r="A10" s="399"/>
      <c r="B10" s="399"/>
      <c r="C10" s="113"/>
      <c r="D10" s="113"/>
      <c r="E10" s="113"/>
      <c r="F10" s="113"/>
      <c r="G10" s="113"/>
      <c r="H10" s="112">
        <v>1</v>
      </c>
      <c r="I10" s="112">
        <v>2</v>
      </c>
      <c r="J10" s="112">
        <v>3</v>
      </c>
      <c r="K10" s="112">
        <v>4</v>
      </c>
      <c r="L10" s="137">
        <v>5</v>
      </c>
      <c r="M10" s="399"/>
      <c r="N10" s="113"/>
      <c r="O10" s="113"/>
      <c r="P10" s="113"/>
      <c r="Q10" s="216" t="s">
        <v>391</v>
      </c>
      <c r="R10" s="216" t="s">
        <v>392</v>
      </c>
      <c r="S10" s="216" t="s">
        <v>393</v>
      </c>
      <c r="T10" s="406"/>
      <c r="U10" s="408"/>
    </row>
    <row r="11" spans="1:21" s="101" customFormat="1" ht="40.5" customHeight="1">
      <c r="A11" s="217" t="s">
        <v>394</v>
      </c>
      <c r="B11" s="218" t="s">
        <v>395</v>
      </c>
      <c r="C11" s="218">
        <v>8</v>
      </c>
      <c r="D11" s="218">
        <v>14</v>
      </c>
      <c r="E11" s="218">
        <v>21</v>
      </c>
      <c r="F11" s="218">
        <v>28</v>
      </c>
      <c r="G11" s="218"/>
      <c r="H11" s="219" t="str">
        <f>IF(ข้อมูลผู้กรอกและสรุปภาระงาน!$C$19&lt;=C11,"/","")</f>
        <v>/</v>
      </c>
      <c r="I11" s="219">
        <f>IF(AND(ข้อมูลผู้กรอกและสรุปภาระงาน!$C$19&gt;C11,ข้อมูลผู้กรอกและสรุปภาระงาน!$C$19&lt;=D11),"/","")</f>
      </c>
      <c r="J11" s="219">
        <f>IF(AND(ข้อมูลผู้กรอกและสรุปภาระงาน!$C$19&gt;D11,ข้อมูลผู้กรอกและสรุปภาระงาน!$C$19&lt;=E11),"/","")</f>
      </c>
      <c r="K11" s="219">
        <f>IF(AND(ข้อมูลผู้กรอกและสรุปภาระงาน!$C$19&gt;E11,ข้อมูลผู้กรอกและสรุปภาระงาน!$C$19&lt;=F11),"/","")</f>
      </c>
      <c r="L11" s="219">
        <f>IF(ข้อมูลผู้กรอกและสรุปภาระงาน!$C$19&gt;F11,"/","")</f>
      </c>
      <c r="M11" s="220">
        <f>IF(H11&lt;&gt;"",1,IF(I11&lt;&gt;"",2,IF(J11&lt;&gt;"",3,IF(K11&lt;&gt;"",4,IF(L11&lt;&gt;"",5)))))</f>
        <v>1</v>
      </c>
      <c r="N11" s="221"/>
      <c r="O11" s="221"/>
      <c r="P11" s="221"/>
      <c r="Q11" s="222">
        <v>50</v>
      </c>
      <c r="R11" s="223">
        <v>20</v>
      </c>
      <c r="S11" s="223">
        <v>5</v>
      </c>
      <c r="T11" s="204">
        <f>IF(ข้อมูลผู้กรอกและสรุปภาระงาน!$D$11="กลุ่มผู้ดำรงตำแหน่งทางวิชาการ",M11*Q11/100,IF(OR(ข้อมูลผู้กรอกและสรุปภาระงาน!$D$11="รองคณบดี/หัวหน้าภาควิชา/สาขาวิชา หรือเทียบเท่า",ข้อมูลผู้กรอกและสรุปภาระงาน!$D$11="ผู้ช่วยคณบดี"),M11*R11/100,IF(ข้อมูลผู้กรอกและสรุปภาระงาน!$D$11="อธิการบดี/รองอธิการบดี/คณบดี/ผู้อำนวยการสำนัก หรือเทียบเท่า",M11*S11/100)))</f>
        <v>0.5</v>
      </c>
      <c r="U11" s="224"/>
    </row>
    <row r="12" spans="1:21" s="101" customFormat="1" ht="42.75" customHeight="1">
      <c r="A12" s="206" t="s">
        <v>396</v>
      </c>
      <c r="B12" s="206" t="s">
        <v>397</v>
      </c>
      <c r="C12" s="225">
        <v>3</v>
      </c>
      <c r="D12" s="225">
        <v>5</v>
      </c>
      <c r="E12" s="225">
        <v>8</v>
      </c>
      <c r="F12" s="225">
        <v>11</v>
      </c>
      <c r="G12" s="225"/>
      <c r="H12" s="226" t="str">
        <f>IF(ข้อมูลผู้กรอกและสรุปภาระงาน!$C28&lt;=แบบสรุปรายงาน!C12,"/","")</f>
        <v>/</v>
      </c>
      <c r="I12" s="226">
        <f>IF(AND(ข้อมูลผู้กรอกและสรุปภาระงาน!$C28&gt;C12,ข้อมูลผู้กรอกและสรุปภาระงาน!$C28&lt;=D12),"/","")</f>
      </c>
      <c r="J12" s="226">
        <f>IF(AND(ข้อมูลผู้กรอกและสรุปภาระงาน!$C28&gt;D12,ข้อมูลผู้กรอกและสรุปภาระงาน!$C28&lt;=E12),"/","")</f>
      </c>
      <c r="K12" s="226">
        <f>IF(AND(ข้อมูลผู้กรอกและสรุปภาระงาน!$C28&gt;E12,ข้อมูลผู้กรอกและสรุปภาระงาน!$C28&lt;=F12),"/","")</f>
      </c>
      <c r="L12" s="226">
        <f>IF(ข้อมูลผู้กรอกและสรุปภาระงาน!$C28&gt;F12,"/","")</f>
      </c>
      <c r="M12" s="227">
        <f>IF(H12&lt;&gt;"",1,IF(I12&lt;&gt;"",2,IF(J12&lt;&gt;"",3,IF(K12&lt;&gt;"",4,IF(L12&lt;&gt;"",5)))))</f>
        <v>1</v>
      </c>
      <c r="N12" s="227"/>
      <c r="O12" s="227"/>
      <c r="P12" s="227"/>
      <c r="Q12" s="228">
        <v>20</v>
      </c>
      <c r="R12" s="228">
        <v>20</v>
      </c>
      <c r="S12" s="228">
        <v>10</v>
      </c>
      <c r="T12" s="204">
        <f>IF(ข้อมูลผู้กรอกและสรุปภาระงาน!$D$11="กลุ่มผู้ดำรงตำแหน่งทางวิชาการ",M12*Q12/100,IF(OR(ข้อมูลผู้กรอกและสรุปภาระงาน!$D$11="รองคณบดี/หัวหน้าภาควิชา/สาขาวิชา หรือเทียบเท่า",ข้อมูลผู้กรอกและสรุปภาระงาน!$D$11="ผู้ช่วยคณบดี"),M12*R12/100,IF(ข้อมูลผู้กรอกและสรุปภาระงาน!$D$11="อธิการบดี/รองอธิการบดี/คณบดี/ผู้อำนวยการสำนัก หรือเทียบเท่า",M12*S12/100)))</f>
        <v>0.2</v>
      </c>
      <c r="U12" s="229"/>
    </row>
    <row r="13" spans="1:21" s="101" customFormat="1" ht="40.5" customHeight="1">
      <c r="A13" s="206" t="s">
        <v>398</v>
      </c>
      <c r="B13" s="206" t="s">
        <v>399</v>
      </c>
      <c r="C13" s="225">
        <v>0.6</v>
      </c>
      <c r="D13" s="225">
        <v>0.8</v>
      </c>
      <c r="E13" s="225">
        <v>1</v>
      </c>
      <c r="F13" s="225">
        <v>1.2</v>
      </c>
      <c r="G13" s="225"/>
      <c r="H13" s="226" t="str">
        <f>IF(ข้อมูลผู้กรอกและสรุปภาระงาน!$C29&lt;=แบบสรุปรายงาน!C13,"/","")</f>
        <v>/</v>
      </c>
      <c r="I13" s="226">
        <f>IF(AND(ข้อมูลผู้กรอกและสรุปภาระงาน!$C29&gt;C13,ข้อมูลผู้กรอกและสรุปภาระงาน!$C29&lt;=D13),"/","")</f>
      </c>
      <c r="J13" s="226">
        <f>IF(AND(ข้อมูลผู้กรอกและสรุปภาระงาน!$C29&gt;D13,ข้อมูลผู้กรอกและสรุปภาระงาน!$C29&lt;=E13),"/","")</f>
      </c>
      <c r="K13" s="226">
        <f>IF(AND(ข้อมูลผู้กรอกและสรุปภาระงาน!$C29&gt;E13,ข้อมูลผู้กรอกและสรุปภาระงาน!$C29&lt;=F13),"/","")</f>
      </c>
      <c r="L13" s="226">
        <f>IF(ข้อมูลผู้กรอกและสรุปภาระงาน!$C29&gt;F13,"/","")</f>
      </c>
      <c r="M13" s="227">
        <f>IF(H13&lt;&gt;"",1,IF(I13&lt;&gt;"",2,IF(J13&lt;&gt;"",3,IF(K13&lt;&gt;"",4,IF(L13&lt;&gt;"",5)))))</f>
        <v>1</v>
      </c>
      <c r="N13" s="227"/>
      <c r="O13" s="227"/>
      <c r="P13" s="227"/>
      <c r="Q13" s="228">
        <v>10</v>
      </c>
      <c r="R13" s="228">
        <v>10</v>
      </c>
      <c r="S13" s="228">
        <v>10</v>
      </c>
      <c r="T13" s="204">
        <f>IF(ข้อมูลผู้กรอกและสรุปภาระงาน!$D$11="กลุ่มผู้ดำรงตำแหน่งทางวิชาการ",M13*Q13/100,IF(OR(ข้อมูลผู้กรอกและสรุปภาระงาน!$D$11="รองคณบดี/หัวหน้าภาควิชา/สาขาวิชา หรือเทียบเท่า",ข้อมูลผู้กรอกและสรุปภาระงาน!$D$11="ผู้ช่วยคณบดี"),M13*R13/100,IF(ข้อมูลผู้กรอกและสรุปภาระงาน!$D$11="อธิการบดี/รองอธิการบดี/คณบดี/ผู้อำนวยการสำนัก หรือเทียบเท่า",M13*S13/100)))</f>
        <v>0.1</v>
      </c>
      <c r="U13" s="229"/>
    </row>
    <row r="14" spans="1:21" s="101" customFormat="1" ht="41.25" customHeight="1">
      <c r="A14" s="206" t="s">
        <v>400</v>
      </c>
      <c r="B14" s="206" t="s">
        <v>401</v>
      </c>
      <c r="C14" s="225">
        <v>11</v>
      </c>
      <c r="D14" s="225">
        <v>20</v>
      </c>
      <c r="E14" s="225">
        <v>30</v>
      </c>
      <c r="F14" s="225">
        <v>40</v>
      </c>
      <c r="G14" s="225"/>
      <c r="H14" s="226" t="str">
        <f>IF(ข้อมูลผู้กรอกและสรุปภาระงาน!$C30&lt;=แบบสรุปรายงาน!C14,"/","")</f>
        <v>/</v>
      </c>
      <c r="I14" s="226">
        <f>IF(AND(ข้อมูลผู้กรอกและสรุปภาระงาน!$C30&gt;C14,ข้อมูลผู้กรอกและสรุปภาระงาน!$C30&lt;=D14),"/","")</f>
      </c>
      <c r="J14" s="226">
        <f>IF(AND(ข้อมูลผู้กรอกและสรุปภาระงาน!$C30&gt;D14,ข้อมูลผู้กรอกและสรุปภาระงาน!$C30&lt;=E14),"/","")</f>
      </c>
      <c r="K14" s="226">
        <f>IF(AND(ข้อมูลผู้กรอกและสรุปภาระงาน!$C30&gt;E14,ข้อมูลผู้กรอกและสรุปภาระงาน!$C30&lt;=F14),"/","")</f>
      </c>
      <c r="L14" s="226">
        <f>IF(ข้อมูลผู้กรอกและสรุปภาระงาน!$C30&gt;F14,"/","")</f>
      </c>
      <c r="M14" s="227">
        <f>IF(H14&lt;&gt;"",1,IF(I14&lt;&gt;"",2,IF(J14&lt;&gt;"",3,IF(K14&lt;&gt;"",4,IF(L14&lt;&gt;"",5)))))</f>
        <v>1</v>
      </c>
      <c r="N14" s="227"/>
      <c r="O14" s="227"/>
      <c r="P14" s="227"/>
      <c r="Q14" s="228">
        <v>10</v>
      </c>
      <c r="R14" s="228">
        <v>40</v>
      </c>
      <c r="S14" s="228">
        <v>60</v>
      </c>
      <c r="T14" s="204">
        <f>IF(ข้อมูลผู้กรอกและสรุปภาระงาน!$D$11="กลุ่มผู้ดำรงตำแหน่งทางวิชาการ",M14*Q14/100,IF(OR(ข้อมูลผู้กรอกและสรุปภาระงาน!$D$11="รองคณบดี/หัวหน้าภาควิชา/สาขาวิชา หรือเทียบเท่า",ข้อมูลผู้กรอกและสรุปภาระงาน!$D$11="ผู้ช่วยคณบดี"),M14*R14/100,IF(ข้อมูลผู้กรอกและสรุปภาระงาน!$D$11="อธิการบดี/รองอธิการบดี/คณบดี/ผู้อำนวยการสำนัก หรือเทียบเท่า",M14*S14/100)))</f>
        <v>0.1</v>
      </c>
      <c r="U14" s="229"/>
    </row>
    <row r="15" spans="1:21" s="104" customFormat="1" ht="60.75">
      <c r="A15" s="206" t="s">
        <v>800</v>
      </c>
      <c r="B15" s="207" t="s">
        <v>529</v>
      </c>
      <c r="C15" s="206">
        <v>65</v>
      </c>
      <c r="D15" s="206">
        <v>75</v>
      </c>
      <c r="E15" s="206">
        <v>85</v>
      </c>
      <c r="F15" s="206">
        <v>95</v>
      </c>
      <c r="G15" s="206"/>
      <c r="H15" s="102" t="s">
        <v>402</v>
      </c>
      <c r="I15" s="103"/>
      <c r="J15" s="102"/>
      <c r="K15" s="102"/>
      <c r="L15" s="102"/>
      <c r="M15" s="202">
        <f>IF(H15&lt;&gt;"",1,IF(I15&lt;&gt;"",2,IF(J15&lt;&gt;"",3,IF(K15&lt;&gt;"",4,IF(L15&lt;&gt;"",5)))))</f>
        <v>1</v>
      </c>
      <c r="N15" s="202"/>
      <c r="O15" s="202"/>
      <c r="P15" s="202"/>
      <c r="Q15" s="203">
        <v>10</v>
      </c>
      <c r="R15" s="203">
        <v>10</v>
      </c>
      <c r="S15" s="203">
        <v>15</v>
      </c>
      <c r="T15" s="204">
        <f>IF(ข้อมูลผู้กรอกและสรุปภาระงาน!$D$11="กลุ่มผู้ดำรงตำแหน่งทางวิชาการ",M15*Q15/100,IF(OR(ข้อมูลผู้กรอกและสรุปภาระงาน!$D$11="รองคณบดี/หัวหน้าภาควิชา/สาขาวิชา หรือเทียบเท่า",ข้อมูลผู้กรอกและสรุปภาระงาน!$D$11="ผู้ช่วยคณบดี"),M15*R15/100,IF(ข้อมูลผู้กรอกและสรุปภาระงาน!$D$11="อธิการบดี/รองอธิการบดี/คณบดี/ผู้อำนวยการสำนัก หรือเทียบเท่า",M15*S15/100)))</f>
        <v>0.1</v>
      </c>
      <c r="U15" s="205"/>
    </row>
    <row r="16" spans="1:21" s="104" customFormat="1" ht="21">
      <c r="A16" s="380" t="s">
        <v>403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2"/>
      <c r="N16" s="111"/>
      <c r="O16" s="111"/>
      <c r="P16" s="111"/>
      <c r="Q16" s="112">
        <v>100</v>
      </c>
      <c r="R16" s="113">
        <f>SUM(R11:R15)</f>
        <v>100</v>
      </c>
      <c r="S16" s="113">
        <f>SUM(S11:S15)</f>
        <v>100</v>
      </c>
      <c r="T16" s="112">
        <f>SUM(T11:T15)</f>
        <v>0.9999999999999999</v>
      </c>
      <c r="U16" s="114"/>
    </row>
    <row r="17" spans="1:21" s="105" customFormat="1" ht="21">
      <c r="A17" s="115" t="s">
        <v>404</v>
      </c>
      <c r="B17" s="116"/>
      <c r="C17" s="117"/>
      <c r="D17" s="117"/>
      <c r="E17" s="117"/>
      <c r="F17" s="116"/>
      <c r="G17" s="116"/>
      <c r="H17" s="116"/>
      <c r="I17" s="116"/>
      <c r="J17" s="116"/>
      <c r="K17" s="118" t="s">
        <v>405</v>
      </c>
      <c r="L17" s="119"/>
      <c r="M17" s="119"/>
      <c r="N17" s="117"/>
      <c r="O17" s="117"/>
      <c r="P17" s="117"/>
      <c r="Q17" s="116"/>
      <c r="R17" s="120" t="str">
        <f>"="&amp;T16</f>
        <v>=1</v>
      </c>
      <c r="S17" s="121"/>
      <c r="T17" s="122">
        <f>SUM(T16/5)</f>
        <v>0.19999999999999998</v>
      </c>
      <c r="U17" s="114"/>
    </row>
    <row r="18" spans="1:21" s="105" customFormat="1" ht="21">
      <c r="A18" s="123"/>
      <c r="B18" s="124"/>
      <c r="C18" s="125"/>
      <c r="D18" s="125"/>
      <c r="E18" s="125"/>
      <c r="F18" s="124"/>
      <c r="G18" s="124"/>
      <c r="H18" s="124"/>
      <c r="I18" s="124"/>
      <c r="J18" s="124"/>
      <c r="K18" s="124" t="s">
        <v>406</v>
      </c>
      <c r="L18" s="125"/>
      <c r="M18" s="125"/>
      <c r="N18" s="125"/>
      <c r="O18" s="125"/>
      <c r="P18" s="125"/>
      <c r="Q18" s="124"/>
      <c r="R18" s="126">
        <v>5</v>
      </c>
      <c r="S18" s="127"/>
      <c r="T18" s="128"/>
      <c r="U18" s="114"/>
    </row>
    <row r="19" spans="1:21" s="106" customFormat="1" ht="18">
      <c r="A19" s="129" t="s">
        <v>407</v>
      </c>
      <c r="B19" s="130" t="s">
        <v>516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1"/>
      <c r="M19" s="131"/>
      <c r="N19" s="131"/>
      <c r="O19" s="131"/>
      <c r="P19" s="131"/>
      <c r="Q19" s="131"/>
      <c r="R19" s="131"/>
      <c r="S19" s="130"/>
      <c r="T19" s="130"/>
      <c r="U19" s="130"/>
    </row>
    <row r="20" spans="1:21" s="106" customFormat="1" ht="17.25">
      <c r="A20" s="132"/>
      <c r="B20" s="132" t="s">
        <v>408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</row>
    <row r="21" spans="1:21" ht="22.5">
      <c r="A21" s="132"/>
      <c r="B21" s="132" t="s">
        <v>409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</row>
    <row r="22" spans="1:21" ht="26.25">
      <c r="A22" s="133" t="s">
        <v>410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</row>
    <row r="23" spans="1:21" s="107" customFormat="1" ht="42" customHeight="1">
      <c r="A23" s="383" t="s">
        <v>411</v>
      </c>
      <c r="B23" s="384"/>
      <c r="C23" s="135"/>
      <c r="D23" s="135"/>
      <c r="E23" s="135"/>
      <c r="F23" s="135"/>
      <c r="G23" s="135"/>
      <c r="H23" s="387" t="s">
        <v>412</v>
      </c>
      <c r="I23" s="388"/>
      <c r="J23" s="388"/>
      <c r="K23" s="388"/>
      <c r="L23" s="389"/>
      <c r="M23" s="383" t="s">
        <v>413</v>
      </c>
      <c r="N23" s="390"/>
      <c r="O23" s="390"/>
      <c r="P23" s="390"/>
      <c r="Q23" s="384"/>
      <c r="R23" s="383" t="s">
        <v>414</v>
      </c>
      <c r="S23" s="384"/>
      <c r="T23" s="365" t="s">
        <v>793</v>
      </c>
      <c r="U23" s="136"/>
    </row>
    <row r="24" spans="1:21" s="107" customFormat="1" ht="21">
      <c r="A24" s="385"/>
      <c r="B24" s="386"/>
      <c r="C24" s="127"/>
      <c r="D24" s="127"/>
      <c r="E24" s="127"/>
      <c r="F24" s="127"/>
      <c r="G24" s="127"/>
      <c r="H24" s="112">
        <v>1</v>
      </c>
      <c r="I24" s="112">
        <v>2</v>
      </c>
      <c r="J24" s="112">
        <v>3</v>
      </c>
      <c r="K24" s="112">
        <v>4</v>
      </c>
      <c r="L24" s="137">
        <v>5</v>
      </c>
      <c r="M24" s="385"/>
      <c r="N24" s="391"/>
      <c r="O24" s="391"/>
      <c r="P24" s="391"/>
      <c r="Q24" s="386"/>
      <c r="R24" s="385"/>
      <c r="S24" s="386"/>
      <c r="T24" s="366"/>
      <c r="U24" s="136"/>
    </row>
    <row r="25" spans="1:21" s="107" customFormat="1" ht="21">
      <c r="A25" s="138" t="s">
        <v>415</v>
      </c>
      <c r="B25" s="139"/>
      <c r="C25" s="139"/>
      <c r="D25" s="139"/>
      <c r="E25" s="139"/>
      <c r="F25" s="139"/>
      <c r="G25" s="139"/>
      <c r="H25" s="140"/>
      <c r="I25" s="140"/>
      <c r="J25" s="140"/>
      <c r="K25" s="140"/>
      <c r="L25" s="140"/>
      <c r="M25" s="141"/>
      <c r="N25" s="142"/>
      <c r="O25" s="142"/>
      <c r="P25" s="142"/>
      <c r="Q25" s="139"/>
      <c r="R25" s="141"/>
      <c r="S25" s="139"/>
      <c r="T25" s="143"/>
      <c r="U25" s="136"/>
    </row>
    <row r="26" spans="1:21" s="107" customFormat="1" ht="20.25" customHeight="1">
      <c r="A26" s="144" t="s">
        <v>416</v>
      </c>
      <c r="B26" s="145"/>
      <c r="C26" s="145"/>
      <c r="D26" s="145"/>
      <c r="E26" s="145"/>
      <c r="F26" s="145"/>
      <c r="G26" s="145"/>
      <c r="H26" s="146" t="str">
        <f>IF(COUNTIF(สมรรถนะ!F2:F7,"มี")=6,"/","x")</f>
        <v>/</v>
      </c>
      <c r="I26" s="147" t="str">
        <f>IF(AND(COUNTIF(สมรรถนะ!F8:F12,"มี")=5,H26="/"),"/","x")</f>
        <v>/</v>
      </c>
      <c r="J26" s="146" t="str">
        <f>IF(AND(COUNTIF(สมรรถนะ!F13:F15,"มี")=3,I26="/"),"/","x")</f>
        <v>/</v>
      </c>
      <c r="K26" s="146" t="str">
        <f>IF(AND(COUNTIF(สมรรถนะ!F16:F18,"มี")=3,J26="/"),"/","x")</f>
        <v>/</v>
      </c>
      <c r="L26" s="147" t="str">
        <f>IF(AND(COUNTIF(สมรรถนะ!F19:F21,"มี")=3,K26="/"),"/","x")</f>
        <v>/</v>
      </c>
      <c r="M26" s="148">
        <v>3</v>
      </c>
      <c r="N26" s="149"/>
      <c r="O26" s="149"/>
      <c r="P26" s="149"/>
      <c r="Q26" s="150"/>
      <c r="R26" s="151">
        <f>COUNTIF(H26:L26,"/")</f>
        <v>5</v>
      </c>
      <c r="S26" s="152"/>
      <c r="T26" s="153">
        <f>IF(R26&gt;=M26,M26,IF(R26-M26=-1,M26-1,IF(R26-M26=-2,M26-2,IF(R26-M26=-3,M26-3,0))))</f>
        <v>3</v>
      </c>
      <c r="U26" s="136"/>
    </row>
    <row r="27" spans="1:21" s="107" customFormat="1" ht="20.25">
      <c r="A27" s="144" t="s">
        <v>417</v>
      </c>
      <c r="B27" s="145"/>
      <c r="C27" s="145"/>
      <c r="D27" s="145"/>
      <c r="E27" s="145"/>
      <c r="F27" s="145"/>
      <c r="G27" s="145"/>
      <c r="H27" s="146" t="str">
        <f>IF(COUNTIF(สมรรถนะ!F23:F24,"มี")=2,"/","x")</f>
        <v>/</v>
      </c>
      <c r="I27" s="147" t="str">
        <f>IF(AND(COUNTIF(สมรรถนะ!F25:F26,"มี")=2,H27="/"),"/","x")</f>
        <v>/</v>
      </c>
      <c r="J27" s="146" t="str">
        <f>IF(AND(COUNTIF(สมรรถนะ!F27:F28,"มี")=2,I27="/"),"/","x")</f>
        <v>/</v>
      </c>
      <c r="K27" s="146" t="str">
        <f>IF(AND(COUNTIF(สมรรถนะ!F29:F30,"มี")=2,J27="/"),"/","x")</f>
        <v>/</v>
      </c>
      <c r="L27" s="147" t="str">
        <f>IF(AND(COUNTIF(สมรรถนะ!F31:F32,"มี")=2,K27="/"),"/","x")</f>
        <v>/</v>
      </c>
      <c r="M27" s="151">
        <f>M26</f>
        <v>3</v>
      </c>
      <c r="N27" s="154"/>
      <c r="O27" s="154"/>
      <c r="P27" s="154"/>
      <c r="Q27" s="152"/>
      <c r="R27" s="151">
        <f>COUNTIF(H27:L27,"/")</f>
        <v>5</v>
      </c>
      <c r="S27" s="152"/>
      <c r="T27" s="153">
        <f aca="true" t="shared" si="0" ref="T27:T39">IF(R27&gt;=M27,M27,IF(R27-M27=-1,M27-1,IF(R27-M27=-2,M27-2,IF(R27-M27=-3,M27-3,0))))</f>
        <v>3</v>
      </c>
      <c r="U27" s="136"/>
    </row>
    <row r="28" spans="1:21" s="107" customFormat="1" ht="20.25">
      <c r="A28" s="144" t="s">
        <v>418</v>
      </c>
      <c r="B28" s="145"/>
      <c r="C28" s="145"/>
      <c r="D28" s="145"/>
      <c r="E28" s="145"/>
      <c r="F28" s="145"/>
      <c r="G28" s="145"/>
      <c r="H28" s="146" t="str">
        <f>IF(COUNTIF(สมรรถนะ!F34:F35,"มี")=2,"/","x")</f>
        <v>/</v>
      </c>
      <c r="I28" s="147" t="str">
        <f>IF(AND(COUNTIF(สมรรถนะ!F36,"มี")=1,H28="/"),"/","x")</f>
        <v>/</v>
      </c>
      <c r="J28" s="146" t="str">
        <f>IF(AND(COUNTIF(สมรรถนะ!F37:F39,"มี")=3,I28="/"),"/","x")</f>
        <v>/</v>
      </c>
      <c r="K28" s="146" t="str">
        <f>IF(AND(COUNTIF(สมรรถนะ!F40:F42,"มี")=3,J28="/"),"/","x")</f>
        <v>/</v>
      </c>
      <c r="L28" s="147" t="str">
        <f>IF(AND(COUNTIF(สมรรถนะ!F43:F45,"มี")=3,K28="/"),"/","x")</f>
        <v>/</v>
      </c>
      <c r="M28" s="151">
        <f>M27</f>
        <v>3</v>
      </c>
      <c r="N28" s="154"/>
      <c r="O28" s="154"/>
      <c r="P28" s="154"/>
      <c r="Q28" s="152"/>
      <c r="R28" s="151">
        <f>COUNTIF(H28:L28,"/")</f>
        <v>5</v>
      </c>
      <c r="S28" s="152"/>
      <c r="T28" s="153">
        <f t="shared" si="0"/>
        <v>3</v>
      </c>
      <c r="U28" s="136"/>
    </row>
    <row r="29" spans="1:21" s="107" customFormat="1" ht="20.25">
      <c r="A29" s="144" t="s">
        <v>419</v>
      </c>
      <c r="B29" s="145"/>
      <c r="C29" s="145"/>
      <c r="D29" s="145"/>
      <c r="E29" s="145"/>
      <c r="F29" s="145"/>
      <c r="G29" s="145"/>
      <c r="H29" s="146" t="str">
        <f>IF(COUNTIF(สมรรถนะ!F47:F50,"มี")=4,"/","x")</f>
        <v>/</v>
      </c>
      <c r="I29" s="147" t="str">
        <f>IF(AND(COUNTIF(สมรรถนะ!F51:F54,"มี")=4,H29="/"),"/","x")</f>
        <v>/</v>
      </c>
      <c r="J29" s="146" t="str">
        <f>IF(AND(COUNTIF(สมรรถนะ!F55:F58,"มี")=4,I29="/"),"/","x")</f>
        <v>/</v>
      </c>
      <c r="K29" s="146" t="str">
        <f>IF(AND(COUNTIF(สมรรถนะ!F59:F62,"มี")=4,J29="/"),"/","x")</f>
        <v>/</v>
      </c>
      <c r="L29" s="147" t="str">
        <f>IF(AND(COUNTIF(สมรรถนะ!F63:F64,"มี")=2,K29="/"),"/","x")</f>
        <v>/</v>
      </c>
      <c r="M29" s="151">
        <f>M28</f>
        <v>3</v>
      </c>
      <c r="N29" s="154"/>
      <c r="O29" s="154"/>
      <c r="P29" s="154"/>
      <c r="Q29" s="152"/>
      <c r="R29" s="151">
        <f>COUNTIF(H29:L29,"/")</f>
        <v>5</v>
      </c>
      <c r="S29" s="152"/>
      <c r="T29" s="153">
        <f t="shared" si="0"/>
        <v>3</v>
      </c>
      <c r="U29" s="136"/>
    </row>
    <row r="30" spans="1:21" s="107" customFormat="1" ht="20.25">
      <c r="A30" s="155" t="s">
        <v>420</v>
      </c>
      <c r="B30" s="156"/>
      <c r="C30" s="156"/>
      <c r="D30" s="156"/>
      <c r="E30" s="156"/>
      <c r="F30" s="156"/>
      <c r="G30" s="156"/>
      <c r="H30" s="157" t="str">
        <f>IF(COUNTIF(สมรรถนะ!F66:F69,"มี")=4,"/","x")</f>
        <v>/</v>
      </c>
      <c r="I30" s="158" t="str">
        <f>IF(AND(COUNTIF(สมรรถนะ!F70:F73,"มี")=4,H30="/"),"/","x")</f>
        <v>/</v>
      </c>
      <c r="J30" s="157" t="str">
        <f>IF(AND(COUNTIF(สมรรถนะ!F74:F77,"มี")=4,I30="/"),"/","x")</f>
        <v>/</v>
      </c>
      <c r="K30" s="157" t="str">
        <f>IF(AND(COUNTIF(สมรรถนะ!F78:F81,"มี")=4,J30="/"),"/","x")</f>
        <v>/</v>
      </c>
      <c r="L30" s="158" t="str">
        <f>IF(AND(COUNTIF(สมรรถนะ!F82:F85,"มี")=4,K30="/"),"/","x")</f>
        <v>/</v>
      </c>
      <c r="M30" s="159">
        <f>M29</f>
        <v>3</v>
      </c>
      <c r="N30" s="160"/>
      <c r="O30" s="160"/>
      <c r="P30" s="160"/>
      <c r="Q30" s="161"/>
      <c r="R30" s="159">
        <f>COUNTIF(H30:L30,"/")</f>
        <v>5</v>
      </c>
      <c r="S30" s="161"/>
      <c r="T30" s="162">
        <f t="shared" si="0"/>
        <v>3</v>
      </c>
      <c r="U30" s="136"/>
    </row>
    <row r="31" spans="1:21" s="107" customFormat="1" ht="21">
      <c r="A31" s="138" t="s">
        <v>421</v>
      </c>
      <c r="B31" s="139"/>
      <c r="C31" s="139"/>
      <c r="D31" s="139"/>
      <c r="E31" s="139"/>
      <c r="F31" s="139"/>
      <c r="G31" s="139"/>
      <c r="H31" s="163"/>
      <c r="I31" s="163"/>
      <c r="J31" s="163"/>
      <c r="K31" s="163"/>
      <c r="L31" s="163"/>
      <c r="M31" s="164"/>
      <c r="N31" s="165"/>
      <c r="O31" s="165"/>
      <c r="P31" s="165"/>
      <c r="Q31" s="166"/>
      <c r="R31" s="164"/>
      <c r="S31" s="166"/>
      <c r="T31" s="143"/>
      <c r="U31" s="136"/>
    </row>
    <row r="32" spans="1:21" s="107" customFormat="1" ht="20.25">
      <c r="A32" s="144" t="s">
        <v>422</v>
      </c>
      <c r="B32" s="167"/>
      <c r="C32" s="167"/>
      <c r="D32" s="167"/>
      <c r="E32" s="167"/>
      <c r="F32" s="167"/>
      <c r="G32" s="167"/>
      <c r="H32" s="146" t="str">
        <f>IF(COUNTIF(สมรรถนะ!F87:F88,"มี")=2,"/","x")</f>
        <v>/</v>
      </c>
      <c r="I32" s="147" t="str">
        <f>IF(AND(COUNTIF(สมรรถนะ!F89:F92,"มี")=4,H32="/"),"/","x")</f>
        <v>/</v>
      </c>
      <c r="J32" s="146" t="str">
        <f>IF(AND(COUNTIF(สมรรถนะ!F93:F95,"มี")=3,I32="/"),"/","x")</f>
        <v>/</v>
      </c>
      <c r="K32" s="146" t="str">
        <f>IF(AND(COUNTIF(สมรรถนะ!F96:F98,"มี")=3,J32="/"),"/","x")</f>
        <v>/</v>
      </c>
      <c r="L32" s="147" t="str">
        <f>IF(AND(COUNTIF(สมรรถนะ!F99,"มี")=1,K32="/"),"/","x")</f>
        <v>/</v>
      </c>
      <c r="M32" s="151">
        <f>M26</f>
        <v>3</v>
      </c>
      <c r="N32" s="154"/>
      <c r="O32" s="154"/>
      <c r="P32" s="154"/>
      <c r="Q32" s="152"/>
      <c r="R32" s="151">
        <f>COUNTIF(H32:L32,"/")</f>
        <v>5</v>
      </c>
      <c r="S32" s="152"/>
      <c r="T32" s="153">
        <f t="shared" si="0"/>
        <v>3</v>
      </c>
      <c r="U32" s="136"/>
    </row>
    <row r="33" spans="1:21" s="107" customFormat="1" ht="20.25">
      <c r="A33" s="144" t="s">
        <v>423</v>
      </c>
      <c r="B33" s="167"/>
      <c r="C33" s="167"/>
      <c r="D33" s="167"/>
      <c r="E33" s="167"/>
      <c r="F33" s="167"/>
      <c r="G33" s="167"/>
      <c r="H33" s="146" t="str">
        <f>IF(COUNTIF(สมรรถนะ!F101:F103,"มี")=3,"/","x")</f>
        <v>/</v>
      </c>
      <c r="I33" s="147" t="str">
        <f>IF(AND(COUNTIF(สมรรถนะ!F104:F107,"มี")=4,H33="/"),"/","x")</f>
        <v>/</v>
      </c>
      <c r="J33" s="146" t="str">
        <f>IF(AND(COUNTIF(สมรรถนะ!F108:F110,"มี")=3,I33="/"),"/","x")</f>
        <v>/</v>
      </c>
      <c r="K33" s="146" t="str">
        <f>IF(AND(COUNTIF(สมรรถนะ!F111:F113,"มี")=3,J33="/"),"/","x")</f>
        <v>/</v>
      </c>
      <c r="L33" s="147" t="str">
        <f>IF(AND(COUNTIF(สมรรถนะ!F114:F115,"มี")=2,K33="/"),"/","x")</f>
        <v>/</v>
      </c>
      <c r="M33" s="151">
        <f>M26</f>
        <v>3</v>
      </c>
      <c r="N33" s="154"/>
      <c r="O33" s="154"/>
      <c r="P33" s="154"/>
      <c r="Q33" s="152"/>
      <c r="R33" s="151">
        <f>COUNTIF(H33:L33,"/")</f>
        <v>5</v>
      </c>
      <c r="S33" s="152"/>
      <c r="T33" s="153">
        <f t="shared" si="0"/>
        <v>3</v>
      </c>
      <c r="U33" s="136"/>
    </row>
    <row r="34" spans="1:21" s="107" customFormat="1" ht="20.25">
      <c r="A34" s="155" t="s">
        <v>424</v>
      </c>
      <c r="B34" s="168"/>
      <c r="C34" s="168"/>
      <c r="D34" s="168"/>
      <c r="E34" s="168"/>
      <c r="F34" s="168"/>
      <c r="G34" s="168"/>
      <c r="H34" s="157" t="str">
        <f>IF(COUNTIF(สมรรถนะ!F117,"มี")=1,"/","x")</f>
        <v>/</v>
      </c>
      <c r="I34" s="158" t="str">
        <f>IF(AND(COUNTIF(สมรรถนะ!F118,"มี")=1,H34="/"),"/","x")</f>
        <v>/</v>
      </c>
      <c r="J34" s="157" t="str">
        <f>IF(AND(COUNTIF(สมรรถนะ!F119:F120,"มี")=2,I34="/"),"/","x")</f>
        <v>/</v>
      </c>
      <c r="K34" s="157" t="str">
        <f>IF(AND(COUNTIF(สมรรถนะ!F121:F122,"มี")=2,J34="/"),"/","x")</f>
        <v>/</v>
      </c>
      <c r="L34" s="158" t="str">
        <f>IF(AND(COUNTIF(สมรรถนะ!F123:F124,"มี")=2,K34="/"),"/","x")</f>
        <v>/</v>
      </c>
      <c r="M34" s="159">
        <f>M26</f>
        <v>3</v>
      </c>
      <c r="N34" s="160"/>
      <c r="O34" s="160"/>
      <c r="P34" s="160"/>
      <c r="Q34" s="161"/>
      <c r="R34" s="159">
        <f>COUNTIF(H34:L34,"/")</f>
        <v>5</v>
      </c>
      <c r="S34" s="161"/>
      <c r="T34" s="162">
        <f t="shared" si="0"/>
        <v>3</v>
      </c>
      <c r="U34" s="136"/>
    </row>
    <row r="35" spans="1:21" s="107" customFormat="1" ht="21">
      <c r="A35" s="138" t="s">
        <v>425</v>
      </c>
      <c r="B35" s="139"/>
      <c r="C35" s="139"/>
      <c r="D35" s="139"/>
      <c r="E35" s="139"/>
      <c r="F35" s="139"/>
      <c r="G35" s="139"/>
      <c r="H35" s="169"/>
      <c r="I35" s="169"/>
      <c r="J35" s="163"/>
      <c r="K35" s="163"/>
      <c r="L35" s="163"/>
      <c r="M35" s="164"/>
      <c r="N35" s="165"/>
      <c r="O35" s="165"/>
      <c r="P35" s="165"/>
      <c r="Q35" s="166"/>
      <c r="R35" s="164"/>
      <c r="S35" s="170"/>
      <c r="T35" s="143"/>
      <c r="U35" s="136"/>
    </row>
    <row r="36" spans="1:21" s="107" customFormat="1" ht="20.25">
      <c r="A36" s="144" t="s">
        <v>426</v>
      </c>
      <c r="B36" s="145"/>
      <c r="C36" s="145"/>
      <c r="D36" s="145"/>
      <c r="E36" s="145"/>
      <c r="F36" s="145"/>
      <c r="G36" s="145"/>
      <c r="H36" s="146">
        <f>IF(ข้อมูลผู้กรอกและสรุปภาระงาน!$B$13="-","",IF(COUNTIF(สมรรถนะ!F126:F129,"มี")=4,"/","x"))</f>
      </c>
      <c r="I36" s="147">
        <f>IF(ข้อมูลผู้กรอกและสรุปภาระงาน!$B$13="-","",IF(AND(COUNTIF(สมรรถนะ!F130:F133,"มี")=4,H36="/"),"/","x"))</f>
      </c>
      <c r="J36" s="146">
        <f>IF(ข้อมูลผู้กรอกและสรุปภาระงาน!$B$13="-","",IF(AND(COUNTIF(สมรรถนะ!F134:F137,"มี")=4,I36="/"),"/","x"))</f>
      </c>
      <c r="K36" s="146">
        <f>IF(ข้อมูลผู้กรอกและสรุปภาระงาน!$B$13="-","",IF(AND(COUNTIF(สมรรถนะ!F138:F140,"มี")=3,J36="/"),"/","x"))</f>
      </c>
      <c r="L36" s="147">
        <f>IF(ข้อมูลผู้กรอกและสรุปภาระงาน!$B$13="-","",IF(AND(COUNTIF(สมรรถนะ!F141:F143,"มี")=3,K36="/"),"/","x"))</f>
      </c>
      <c r="M36" s="151">
        <f>IF(ข้อมูลผู้กรอกและสรุปภาระงาน!B13="-","",M26)</f>
      </c>
      <c r="N36" s="154"/>
      <c r="O36" s="154"/>
      <c r="P36" s="154"/>
      <c r="Q36" s="152"/>
      <c r="R36" s="151">
        <f>IF(ข้อมูลผู้กรอกและสรุปภาระงาน!B13="-","",COUNTIF(H36:L36,"/"))</f>
      </c>
      <c r="S36" s="152"/>
      <c r="T36" s="153">
        <f t="shared" si="0"/>
      </c>
      <c r="U36" s="136"/>
    </row>
    <row r="37" spans="1:21" s="107" customFormat="1" ht="20.25">
      <c r="A37" s="144" t="s">
        <v>427</v>
      </c>
      <c r="B37" s="145"/>
      <c r="C37" s="145"/>
      <c r="D37" s="145"/>
      <c r="E37" s="145"/>
      <c r="F37" s="145"/>
      <c r="G37" s="145"/>
      <c r="H37" s="146">
        <f>IF(ข้อมูลผู้กรอกและสรุปภาระงาน!$B$13="-","",IF(COUNTIF(สมรรถนะ!F144:F145,"มี")=2,"/","x"))</f>
      </c>
      <c r="I37" s="147">
        <f>IF(ข้อมูลผู้กรอกและสรุปภาระงาน!$B$13="-","",IF(AND(COUNTIF(สมรรถนะ!F146:F148,"มี")=3,H37="/"),"/","x"))</f>
      </c>
      <c r="J37" s="146">
        <f>IF(ข้อมูลผู้กรอกและสรุปภาระงาน!$B$13="-","",IF(AND(COUNTIF(สมรรถนะ!F149:F152,"มี")=4,I37="/"),"/","x"))</f>
      </c>
      <c r="K37" s="146">
        <f>IF(ข้อมูลผู้กรอกและสรุปภาระงาน!$B$13="-","",IF(AND(COUNTIF(สมรรถนะ!F153:F154,"มี")=2,J37="/"),"/","x"))</f>
      </c>
      <c r="L37" s="147">
        <f>IF(ข้อมูลผู้กรอกและสรุปภาระงาน!$B$13="-","",IF(AND(COUNTIF(สมรรถนะ!F155:F156,"มี")=2,K37="/"),"/","x"))</f>
      </c>
      <c r="M37" s="151">
        <f>IF(ข้อมูลผู้กรอกและสรุปภาระงาน!B13="-","",M26)</f>
      </c>
      <c r="N37" s="154"/>
      <c r="O37" s="154"/>
      <c r="P37" s="154"/>
      <c r="Q37" s="152"/>
      <c r="R37" s="151">
        <f>IF(ข้อมูลผู้กรอกและสรุปภาระงาน!B13="-","",COUNTIF(H37:L37,"/"))</f>
      </c>
      <c r="S37" s="152"/>
      <c r="T37" s="153">
        <f t="shared" si="0"/>
      </c>
      <c r="U37" s="136"/>
    </row>
    <row r="38" spans="1:21" s="107" customFormat="1" ht="20.25">
      <c r="A38" s="144" t="s">
        <v>428</v>
      </c>
      <c r="B38" s="145"/>
      <c r="C38" s="145"/>
      <c r="D38" s="145"/>
      <c r="E38" s="145"/>
      <c r="F38" s="145"/>
      <c r="G38" s="145"/>
      <c r="H38" s="146">
        <f>IF(ข้อมูลผู้กรอกและสรุปภาระงาน!$B$13="-","",IF(COUNTIF(สมรรถนะ!F157:F159,"มี")=3,"/","x"))</f>
      </c>
      <c r="I38" s="147">
        <f>IF(ข้อมูลผู้กรอกและสรุปภาระงาน!$B$13="-","",IF(AND(COUNTIF(สมรรถนะ!F160:F162,"มี")=3,H38="/"),"/","x"))</f>
      </c>
      <c r="J38" s="146">
        <f>IF(ข้อมูลผู้กรอกและสรุปภาระงาน!$B$13="-","",IF(AND(COUNTIF(สมรรถนะ!F163:F164,"มี")=2,I38="/"),"/","x"))</f>
      </c>
      <c r="K38" s="146">
        <f>IF(ข้อมูลผู้กรอกและสรุปภาระงาน!$B$13="-","",IF(AND(COUNTIF(สมรรถนะ!F165:F166,"มี")=2,J38="/"),"/","x"))</f>
      </c>
      <c r="L38" s="147">
        <f>IF(ข้อมูลผู้กรอกและสรุปภาระงาน!$B$13="-","",IF(AND(COUNTIF(สมรรถนะ!F167:F168,"มี")=2,K38="/"),"/","x"))</f>
      </c>
      <c r="M38" s="151">
        <f>IF(ข้อมูลผู้กรอกและสรุปภาระงาน!B13="-","",M26)</f>
      </c>
      <c r="N38" s="154"/>
      <c r="O38" s="154"/>
      <c r="P38" s="154"/>
      <c r="Q38" s="152"/>
      <c r="R38" s="151">
        <f>IF(ข้อมูลผู้กรอกและสรุปภาระงาน!B13="-","",COUNTIF(H38:L38,"/"))</f>
      </c>
      <c r="S38" s="152"/>
      <c r="T38" s="153">
        <f t="shared" si="0"/>
      </c>
      <c r="U38" s="136"/>
    </row>
    <row r="39" spans="1:21" s="107" customFormat="1" ht="20.25">
      <c r="A39" s="155" t="s">
        <v>429</v>
      </c>
      <c r="B39" s="156"/>
      <c r="C39" s="156"/>
      <c r="D39" s="156"/>
      <c r="E39" s="156"/>
      <c r="F39" s="156"/>
      <c r="G39" s="156"/>
      <c r="H39" s="157">
        <f>IF(ข้อมูลผู้กรอกและสรุปภาระงาน!$B$13="-","",IF(COUNTIF(สมรรถนะ!F169:F171,"มี")=3,"/","x"))</f>
      </c>
      <c r="I39" s="158">
        <f>IF(ข้อมูลผู้กรอกและสรุปภาระงาน!$B$13="-","",IF(AND(COUNTIF(สมรรถนะ!F172:F173,"มี")=2,H39="/"),"/","x"))</f>
      </c>
      <c r="J39" s="157">
        <f>IF(ข้อมูลผู้กรอกและสรุปภาระงาน!$B$13="-","",IF(AND(COUNTIF(สมรรถนะ!F174:F177,"มี")=4,I39="/"),"/","x"))</f>
      </c>
      <c r="K39" s="157">
        <f>IF(ข้อมูลผู้กรอกและสรุปภาระงาน!$B$13="-","",IF(AND(COUNTIF(สมรรถนะ!F178:F180,"มี")=3,J39="/"),"/","x"))</f>
      </c>
      <c r="L39" s="158">
        <f>IF(ข้อมูลผู้กรอกและสรุปภาระงาน!$B$13="-","",IF(AND(COUNTIF(สมรรถนะ!F181:F182,"มี")=2,K39="/"),"/","x"))</f>
      </c>
      <c r="M39" s="159">
        <f>IF(ข้อมูลผู้กรอกและสรุปภาระงาน!B13="-","",M26)</f>
      </c>
      <c r="N39" s="160"/>
      <c r="O39" s="160"/>
      <c r="P39" s="160"/>
      <c r="Q39" s="161"/>
      <c r="R39" s="159">
        <f>IF(ข้อมูลผู้กรอกและสรุปภาระงาน!B13="-","",COUNTIF(H39:L39,"/"))</f>
      </c>
      <c r="S39" s="161"/>
      <c r="T39" s="162">
        <f t="shared" si="0"/>
      </c>
      <c r="U39" s="136"/>
    </row>
    <row r="40" spans="1:21" s="108" customFormat="1" ht="21">
      <c r="A40" s="171"/>
      <c r="B40" s="172" t="s">
        <v>430</v>
      </c>
      <c r="C40" s="172"/>
      <c r="D40" s="172"/>
      <c r="E40" s="172"/>
      <c r="F40" s="172"/>
      <c r="G40" s="172"/>
      <c r="H40" s="173"/>
      <c r="I40" s="173"/>
      <c r="J40" s="173"/>
      <c r="K40" s="173"/>
      <c r="L40" s="173"/>
      <c r="M40" s="394">
        <f>SUM(M26:Q39)</f>
        <v>24</v>
      </c>
      <c r="N40" s="395"/>
      <c r="O40" s="395"/>
      <c r="P40" s="395"/>
      <c r="Q40" s="396"/>
      <c r="R40" s="174">
        <f>SUM(R25:S39)</f>
        <v>40</v>
      </c>
      <c r="S40" s="175"/>
      <c r="T40" s="176">
        <f>SUM(T26:T39)</f>
        <v>24</v>
      </c>
      <c r="U40" s="136"/>
    </row>
    <row r="41" spans="1:21" ht="22.5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8"/>
      <c r="N41" s="178"/>
      <c r="O41" s="178"/>
      <c r="P41" s="178"/>
      <c r="Q41" s="178"/>
      <c r="R41" s="177"/>
      <c r="S41" s="179"/>
      <c r="T41" s="177"/>
      <c r="U41" s="177"/>
    </row>
    <row r="42" spans="1:21" s="109" customFormat="1" ht="21">
      <c r="A42" s="392" t="s">
        <v>431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180"/>
      <c r="O42" s="180"/>
      <c r="P42" s="180"/>
      <c r="Q42" s="393" t="s">
        <v>432</v>
      </c>
      <c r="R42" s="393"/>
      <c r="S42" s="393"/>
      <c r="T42" s="181"/>
      <c r="U42" s="181"/>
    </row>
    <row r="43" spans="1:21" s="107" customFormat="1" ht="21">
      <c r="A43" s="392"/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180"/>
      <c r="O43" s="180"/>
      <c r="P43" s="180"/>
      <c r="Q43" s="182" t="s">
        <v>433</v>
      </c>
      <c r="R43" s="183" t="s">
        <v>434</v>
      </c>
      <c r="S43" s="183" t="s">
        <v>435</v>
      </c>
      <c r="T43" s="181"/>
      <c r="U43" s="181"/>
    </row>
    <row r="44" spans="1:21" s="107" customFormat="1" ht="20.25">
      <c r="A44" s="184" t="s">
        <v>794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>
        <f>M26</f>
        <v>3</v>
      </c>
      <c r="L44" s="184"/>
      <c r="M44" s="184"/>
      <c r="N44" s="185">
        <f>COUNTIF(J25:J40,"/")</f>
        <v>8</v>
      </c>
      <c r="O44" s="185">
        <f>COUNTIF(K25:K40,"/")</f>
        <v>8</v>
      </c>
      <c r="P44" s="185">
        <f>COUNTIF(L25:L40,"/")</f>
        <v>8</v>
      </c>
      <c r="Q44" s="186">
        <f>COUNTIF(T26:T39,K44)</f>
        <v>8</v>
      </c>
      <c r="R44" s="186">
        <f>K44</f>
        <v>3</v>
      </c>
      <c r="S44" s="186">
        <f>+R44*Q44</f>
        <v>24</v>
      </c>
      <c r="T44" s="136"/>
      <c r="U44" s="136"/>
    </row>
    <row r="45" spans="1:21" s="107" customFormat="1" ht="20.25">
      <c r="A45" s="184" t="s">
        <v>795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>
        <f>K44-1</f>
        <v>2</v>
      </c>
      <c r="L45" s="184"/>
      <c r="M45" s="184"/>
      <c r="N45" s="185">
        <f>COUNTIF(I25:I40,"/")</f>
        <v>8</v>
      </c>
      <c r="O45" s="185"/>
      <c r="P45" s="185"/>
      <c r="Q45" s="186">
        <f>COUNTIF(T26:T39,K45)</f>
        <v>0</v>
      </c>
      <c r="R45" s="186">
        <f>K45</f>
        <v>2</v>
      </c>
      <c r="S45" s="186">
        <f>+R45*Q45</f>
        <v>0</v>
      </c>
      <c r="T45" s="136"/>
      <c r="U45" s="136"/>
    </row>
    <row r="46" spans="1:21" ht="22.5">
      <c r="A46" s="184" t="s">
        <v>796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>
        <f>K45-1</f>
        <v>1</v>
      </c>
      <c r="L46" s="184"/>
      <c r="M46" s="184"/>
      <c r="N46" s="185">
        <f>COUNTIF(H25:H40,"/")</f>
        <v>8</v>
      </c>
      <c r="O46" s="185"/>
      <c r="P46" s="185"/>
      <c r="Q46" s="186">
        <f>COUNTIF(T26:T39,K46)</f>
        <v>0</v>
      </c>
      <c r="R46" s="186">
        <f>K46</f>
        <v>1</v>
      </c>
      <c r="S46" s="186">
        <f>+R46*Q46</f>
        <v>0</v>
      </c>
      <c r="T46" s="136"/>
      <c r="U46" s="136"/>
    </row>
    <row r="47" spans="1:21" ht="22.5">
      <c r="A47" s="184" t="s">
        <v>797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>
        <f>K46-1</f>
        <v>0</v>
      </c>
      <c r="L47" s="184"/>
      <c r="M47" s="184"/>
      <c r="N47" s="185">
        <f>COUNTIF(J28:J43,"/")</f>
        <v>6</v>
      </c>
      <c r="O47" s="185"/>
      <c r="P47" s="185"/>
      <c r="Q47" s="186">
        <f>COUNTIF(T26:T39,K47)</f>
        <v>0</v>
      </c>
      <c r="R47" s="186">
        <f>K47</f>
        <v>0</v>
      </c>
      <c r="S47" s="186">
        <f>+R47*Q47</f>
        <v>0</v>
      </c>
      <c r="T47" s="134"/>
      <c r="U47" s="134"/>
    </row>
    <row r="48" spans="1:21" ht="22.5">
      <c r="A48" s="184" t="s">
        <v>797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>
        <f>K47-1</f>
        <v>-1</v>
      </c>
      <c r="L48" s="184"/>
      <c r="M48" s="184"/>
      <c r="N48" s="185">
        <f>COUNTIF(J29:J44,"/")</f>
        <v>5</v>
      </c>
      <c r="O48" s="185"/>
      <c r="P48" s="185"/>
      <c r="Q48" s="186">
        <f>COUNTIF(T26:T39,K48)</f>
        <v>0</v>
      </c>
      <c r="R48" s="186">
        <f>K48</f>
        <v>-1</v>
      </c>
      <c r="S48" s="186">
        <f>+R48*Q48</f>
        <v>0</v>
      </c>
      <c r="T48" s="134"/>
      <c r="U48" s="134"/>
    </row>
    <row r="49" spans="1:21" ht="23.25">
      <c r="A49" s="375" t="s">
        <v>436</v>
      </c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187">
        <f>SUM(S44:S47)</f>
        <v>24</v>
      </c>
      <c r="T49" s="134"/>
      <c r="U49" s="134"/>
    </row>
    <row r="50" spans="1:21" ht="20.25" customHeight="1">
      <c r="A50" s="188" t="s">
        <v>437</v>
      </c>
      <c r="B50" s="189"/>
      <c r="C50" s="189"/>
      <c r="D50" s="189"/>
      <c r="E50" s="189"/>
      <c r="F50" s="189"/>
      <c r="G50" s="189"/>
      <c r="H50" s="189"/>
      <c r="I50" s="120">
        <f>T40</f>
        <v>24</v>
      </c>
      <c r="J50" s="189"/>
      <c r="K50" s="189"/>
      <c r="L50" s="189"/>
      <c r="M50" s="189"/>
      <c r="N50" s="189"/>
      <c r="O50" s="189"/>
      <c r="P50" s="189"/>
      <c r="Q50" s="189"/>
      <c r="R50" s="189"/>
      <c r="S50" s="190">
        <f>I50/I51</f>
        <v>1</v>
      </c>
      <c r="T50" s="134"/>
      <c r="U50" s="134"/>
    </row>
    <row r="51" spans="1:21" ht="20.25" customHeight="1">
      <c r="A51" s="191"/>
      <c r="B51" s="192"/>
      <c r="C51" s="192"/>
      <c r="D51" s="192"/>
      <c r="E51" s="192"/>
      <c r="F51" s="192"/>
      <c r="G51" s="192"/>
      <c r="H51" s="192"/>
      <c r="I51" s="192">
        <f>M40</f>
        <v>24</v>
      </c>
      <c r="J51" s="192"/>
      <c r="K51" s="192"/>
      <c r="L51" s="192"/>
      <c r="M51" s="192"/>
      <c r="N51" s="192"/>
      <c r="O51" s="192"/>
      <c r="P51" s="192"/>
      <c r="Q51" s="192"/>
      <c r="R51" s="192"/>
      <c r="S51" s="193"/>
      <c r="T51" s="134"/>
      <c r="U51" s="134"/>
    </row>
    <row r="52" spans="1:21" s="110" customFormat="1" ht="20.25" customHeight="1">
      <c r="A52" s="376" t="s">
        <v>438</v>
      </c>
      <c r="B52" s="377"/>
      <c r="C52" s="377"/>
      <c r="D52" s="377"/>
      <c r="E52" s="377"/>
      <c r="F52" s="377"/>
      <c r="G52" s="377"/>
      <c r="H52" s="377"/>
      <c r="I52" s="377"/>
      <c r="J52" s="194"/>
      <c r="K52" s="378"/>
      <c r="L52" s="377"/>
      <c r="M52" s="377"/>
      <c r="N52" s="377"/>
      <c r="O52" s="377"/>
      <c r="P52" s="377"/>
      <c r="Q52" s="377"/>
      <c r="R52" s="377"/>
      <c r="S52" s="379"/>
      <c r="T52" s="195"/>
      <c r="U52" s="195"/>
    </row>
    <row r="53" spans="1:21" s="107" customFormat="1" ht="20.25" customHeight="1">
      <c r="A53" s="196"/>
      <c r="B53" s="177"/>
      <c r="C53" s="177"/>
      <c r="D53" s="177"/>
      <c r="E53" s="177"/>
      <c r="F53" s="177"/>
      <c r="G53" s="177"/>
      <c r="H53" s="177"/>
      <c r="I53" s="177"/>
      <c r="J53" s="177"/>
      <c r="K53" s="196"/>
      <c r="L53" s="177"/>
      <c r="M53" s="197"/>
      <c r="N53" s="197"/>
      <c r="O53" s="197"/>
      <c r="P53" s="197"/>
      <c r="Q53" s="177"/>
      <c r="R53" s="177"/>
      <c r="S53" s="198"/>
      <c r="T53" s="136"/>
      <c r="U53" s="136"/>
    </row>
    <row r="54" spans="1:21" s="107" customFormat="1" ht="20.25" customHeight="1">
      <c r="A54" s="367" t="s">
        <v>439</v>
      </c>
      <c r="B54" s="368"/>
      <c r="C54" s="368"/>
      <c r="D54" s="368"/>
      <c r="E54" s="368"/>
      <c r="F54" s="368"/>
      <c r="G54" s="368"/>
      <c r="H54" s="368"/>
      <c r="I54" s="368"/>
      <c r="J54" s="177"/>
      <c r="K54" s="367" t="s">
        <v>440</v>
      </c>
      <c r="L54" s="368"/>
      <c r="M54" s="368"/>
      <c r="N54" s="368"/>
      <c r="O54" s="368"/>
      <c r="P54" s="368"/>
      <c r="Q54" s="368"/>
      <c r="R54" s="368"/>
      <c r="S54" s="369"/>
      <c r="T54" s="136"/>
      <c r="U54" s="136"/>
    </row>
    <row r="55" spans="1:21" s="107" customFormat="1" ht="20.25" customHeight="1">
      <c r="A55" s="370" t="s">
        <v>441</v>
      </c>
      <c r="B55" s="371"/>
      <c r="C55" s="371"/>
      <c r="D55" s="371"/>
      <c r="E55" s="371"/>
      <c r="F55" s="371"/>
      <c r="G55" s="371"/>
      <c r="H55" s="371"/>
      <c r="I55" s="371"/>
      <c r="J55" s="177"/>
      <c r="K55" s="199" t="str">
        <f>"                    "&amp;"ตำแหน่ง"&amp;R6</f>
        <v>                    ตำแหน่งหัวหน้าภาควิชา</v>
      </c>
      <c r="L55" s="178"/>
      <c r="M55" s="178"/>
      <c r="N55" s="178"/>
      <c r="O55" s="178"/>
      <c r="P55" s="178"/>
      <c r="Q55" s="178"/>
      <c r="R55" s="178"/>
      <c r="S55" s="200"/>
      <c r="T55" s="136"/>
      <c r="U55" s="136"/>
    </row>
    <row r="56" spans="1:21" ht="20.25" customHeight="1">
      <c r="A56" s="372" t="s">
        <v>442</v>
      </c>
      <c r="B56" s="373"/>
      <c r="C56" s="373"/>
      <c r="D56" s="373"/>
      <c r="E56" s="373"/>
      <c r="F56" s="373"/>
      <c r="G56" s="373"/>
      <c r="H56" s="373"/>
      <c r="I56" s="373"/>
      <c r="J56" s="201"/>
      <c r="K56" s="372" t="s">
        <v>442</v>
      </c>
      <c r="L56" s="373"/>
      <c r="M56" s="373"/>
      <c r="N56" s="373"/>
      <c r="O56" s="373"/>
      <c r="P56" s="373"/>
      <c r="Q56" s="373"/>
      <c r="R56" s="373"/>
      <c r="S56" s="374"/>
      <c r="T56" s="136"/>
      <c r="U56" s="136"/>
    </row>
  </sheetData>
  <sheetProtection password="CF57" sheet="1"/>
  <mergeCells count="27">
    <mergeCell ref="A1:U1"/>
    <mergeCell ref="A2:U2"/>
    <mergeCell ref="A9:A10"/>
    <mergeCell ref="B9:B10"/>
    <mergeCell ref="H9:L9"/>
    <mergeCell ref="M9:M10"/>
    <mergeCell ref="Q9:S9"/>
    <mergeCell ref="T9:T10"/>
    <mergeCell ref="U9:U10"/>
    <mergeCell ref="B6:K6"/>
    <mergeCell ref="A16:M16"/>
    <mergeCell ref="A23:B24"/>
    <mergeCell ref="H23:L23"/>
    <mergeCell ref="M23:Q24"/>
    <mergeCell ref="R23:S24"/>
    <mergeCell ref="A42:M43"/>
    <mergeCell ref="Q42:S42"/>
    <mergeCell ref="M40:Q40"/>
    <mergeCell ref="T23:T24"/>
    <mergeCell ref="A54:I54"/>
    <mergeCell ref="K54:S54"/>
    <mergeCell ref="A55:I55"/>
    <mergeCell ref="A56:I56"/>
    <mergeCell ref="K56:S56"/>
    <mergeCell ref="A49:R49"/>
    <mergeCell ref="A52:I52"/>
    <mergeCell ref="K52:S52"/>
  </mergeCells>
  <printOptions/>
  <pageMargins left="0.21" right="0.17" top="0.24" bottom="0.27" header="0.17" footer="0.17"/>
  <pageSetup fitToHeight="2" horizontalDpi="600" verticalDpi="600" orientation="landscape" paperSize="9" scale="80" r:id="rId1"/>
  <rowBreaks count="1" manualBreakCount="1">
    <brk id="2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4">
      <selection activeCell="A1" sqref="A1:D1"/>
    </sheetView>
  </sheetViews>
  <sheetFormatPr defaultColWidth="9.140625" defaultRowHeight="12.75"/>
  <cols>
    <col min="1" max="1" width="45.8515625" style="230" customWidth="1"/>
    <col min="2" max="2" width="12.57421875" style="230" customWidth="1"/>
    <col min="3" max="3" width="15.140625" style="230" customWidth="1"/>
    <col min="4" max="4" width="34.7109375" style="230" customWidth="1"/>
    <col min="5" max="16384" width="9.140625" style="230" customWidth="1"/>
  </cols>
  <sheetData>
    <row r="1" spans="1:4" ht="27" customHeight="1">
      <c r="A1" s="426" t="s">
        <v>798</v>
      </c>
      <c r="B1" s="426"/>
      <c r="C1" s="426"/>
      <c r="D1" s="426"/>
    </row>
    <row r="2" spans="1:4" ht="27" customHeight="1">
      <c r="A2" s="426" t="s">
        <v>378</v>
      </c>
      <c r="B2" s="426"/>
      <c r="C2" s="426"/>
      <c r="D2" s="426"/>
    </row>
    <row r="3" ht="27" customHeight="1">
      <c r="A3" s="231" t="s">
        <v>443</v>
      </c>
    </row>
    <row r="4" ht="26.25">
      <c r="A4" s="232"/>
    </row>
    <row r="5" spans="1:2" s="235" customFormat="1" ht="18.75" customHeight="1">
      <c r="A5" s="233" t="s">
        <v>379</v>
      </c>
      <c r="B5" s="234" t="str">
        <f>ข้อมูลผู้กรอกและสรุปภาระงาน!B16</f>
        <v>รอบที่ 2 เดือนกุมภาพันธ์ 2563 - กรกฎาคม 2563</v>
      </c>
    </row>
    <row r="6" spans="1:2" s="235" customFormat="1" ht="18.75" customHeight="1">
      <c r="A6" s="233" t="s">
        <v>444</v>
      </c>
      <c r="B6" s="235" t="str">
        <f>ข้อมูลผู้กรอกและสรุปภาระงาน!B11</f>
        <v>ชื่ออาจารย์</v>
      </c>
    </row>
    <row r="7" spans="1:2" s="235" customFormat="1" ht="18.75" customHeight="1">
      <c r="A7" s="233" t="s">
        <v>381</v>
      </c>
      <c r="B7" s="235" t="str">
        <f>ข้อมูลผู้กรอกและสรุปภาระงาน!B12</f>
        <v>ชื่อภาควิชา</v>
      </c>
    </row>
    <row r="8" spans="1:4" s="235" customFormat="1" ht="18.75" customHeight="1" hidden="1">
      <c r="A8" s="236" t="s">
        <v>445</v>
      </c>
      <c r="B8" s="237" t="s">
        <v>446</v>
      </c>
      <c r="C8" s="237"/>
      <c r="D8" s="237"/>
    </row>
    <row r="9" spans="1:4" s="235" customFormat="1" ht="18.75" customHeight="1">
      <c r="A9" s="238" t="s">
        <v>380</v>
      </c>
      <c r="B9" s="239" t="str">
        <f>ข้อมูลผู้กรอกและสรุปภาระงาน!B13</f>
        <v>-</v>
      </c>
      <c r="C9" s="239"/>
      <c r="D9" s="239"/>
    </row>
    <row r="10" spans="1:4" s="235" customFormat="1" ht="18.75" customHeight="1">
      <c r="A10" s="238" t="s">
        <v>382</v>
      </c>
      <c r="B10" s="239" t="str">
        <f>ข้อมูลผู้กรอกและสรุปภาระงาน!B14</f>
        <v>อาจารย์</v>
      </c>
      <c r="C10" s="239"/>
      <c r="D10" s="239"/>
    </row>
    <row r="11" spans="1:2" s="235" customFormat="1" ht="18.75" customHeight="1">
      <c r="A11" s="233" t="s">
        <v>447</v>
      </c>
      <c r="B11" s="235" t="str">
        <f>+ข้อมูลผู้กรอกและสรุปภาระงาน!B15</f>
        <v>ชื่อผู้ประเมิน</v>
      </c>
    </row>
    <row r="12" spans="1:2" s="235" customFormat="1" ht="18.75" customHeight="1">
      <c r="A12" s="233" t="s">
        <v>448</v>
      </c>
      <c r="B12" s="239" t="str">
        <f>+แบบสรุปรายงาน!R6</f>
        <v>หัวหน้าภาควิชา</v>
      </c>
    </row>
    <row r="13" s="235" customFormat="1" ht="18.75" customHeight="1"/>
    <row r="14" spans="1:4" s="235" customFormat="1" ht="25.5" customHeight="1">
      <c r="A14" s="231" t="s">
        <v>449</v>
      </c>
      <c r="B14" s="239"/>
      <c r="C14" s="239"/>
      <c r="D14" s="239"/>
    </row>
    <row r="15" spans="1:6" s="243" customFormat="1" ht="18.75" customHeight="1">
      <c r="A15" s="240" t="s">
        <v>450</v>
      </c>
      <c r="B15" s="241" t="s">
        <v>530</v>
      </c>
      <c r="C15" s="241" t="s">
        <v>451</v>
      </c>
      <c r="D15" s="241" t="s">
        <v>452</v>
      </c>
      <c r="E15" s="242"/>
      <c r="F15" s="242"/>
    </row>
    <row r="16" spans="1:6" s="235" customFormat="1" ht="18.75" customHeight="1">
      <c r="A16" s="244" t="s">
        <v>453</v>
      </c>
      <c r="B16" s="245">
        <f>+แบบสรุปรายงาน!T17</f>
        <v>0.19999999999999998</v>
      </c>
      <c r="C16" s="246" t="s">
        <v>454</v>
      </c>
      <c r="D16" s="245">
        <f>B16*C16</f>
        <v>13.999999999999998</v>
      </c>
      <c r="E16" s="239"/>
      <c r="F16" s="239"/>
    </row>
    <row r="17" spans="1:6" s="235" customFormat="1" ht="18.75" customHeight="1">
      <c r="A17" s="244" t="s">
        <v>455</v>
      </c>
      <c r="B17" s="245">
        <f>+แบบสรุปรายงาน!S50</f>
        <v>1</v>
      </c>
      <c r="C17" s="246" t="s">
        <v>456</v>
      </c>
      <c r="D17" s="245">
        <f>B17*C17</f>
        <v>30</v>
      </c>
      <c r="E17" s="239"/>
      <c r="F17" s="239"/>
    </row>
    <row r="18" spans="1:6" s="235" customFormat="1" ht="18.75" customHeight="1">
      <c r="A18" s="244" t="s">
        <v>457</v>
      </c>
      <c r="B18" s="247"/>
      <c r="C18" s="246"/>
      <c r="D18" s="245">
        <f>B18*C18</f>
        <v>0</v>
      </c>
      <c r="E18" s="239"/>
      <c r="F18" s="239"/>
    </row>
    <row r="19" spans="1:4" s="235" customFormat="1" ht="18.75" customHeight="1">
      <c r="A19" s="427" t="s">
        <v>430</v>
      </c>
      <c r="B19" s="428"/>
      <c r="C19" s="248" t="s">
        <v>458</v>
      </c>
      <c r="D19" s="249">
        <f>SUM(D16:D18)</f>
        <v>44</v>
      </c>
    </row>
    <row r="20" spans="1:4" s="235" customFormat="1" ht="18.75" customHeight="1">
      <c r="A20" s="239"/>
      <c r="B20" s="239"/>
      <c r="C20" s="239"/>
      <c r="D20" s="239"/>
    </row>
    <row r="21" spans="1:4" s="235" customFormat="1" ht="18.75" customHeight="1">
      <c r="A21" s="250" t="s">
        <v>459</v>
      </c>
      <c r="B21" s="242" t="str">
        <f>IF($D$19&gt;=90,"[ / ]","[   ]")</f>
        <v>[   ]</v>
      </c>
      <c r="C21" s="251" t="s">
        <v>460</v>
      </c>
      <c r="D21" s="239" t="s">
        <v>461</v>
      </c>
    </row>
    <row r="22" spans="2:4" s="235" customFormat="1" ht="18.75" customHeight="1">
      <c r="B22" s="242" t="str">
        <f>IF(AND($D$19&gt;=80,D19&lt;90),"[ / ]","[   ]")</f>
        <v>[   ]</v>
      </c>
      <c r="C22" s="251" t="s">
        <v>462</v>
      </c>
      <c r="D22" s="239" t="s">
        <v>463</v>
      </c>
    </row>
    <row r="23" spans="2:4" s="235" customFormat="1" ht="18.75" customHeight="1">
      <c r="B23" s="242" t="str">
        <f>IF(AND($D$19&gt;=70,D19&lt;80),"[ / ]","[   ]")</f>
        <v>[   ]</v>
      </c>
      <c r="C23" s="251" t="s">
        <v>464</v>
      </c>
      <c r="D23" s="239" t="s">
        <v>465</v>
      </c>
    </row>
    <row r="24" spans="2:4" s="235" customFormat="1" ht="18.75" customHeight="1">
      <c r="B24" s="242" t="str">
        <f>IF(AND($D$19&gt;=60,D19&lt;70),"[ / ]","[   ]")</f>
        <v>[   ]</v>
      </c>
      <c r="C24" s="251" t="s">
        <v>466</v>
      </c>
      <c r="D24" s="239" t="s">
        <v>467</v>
      </c>
    </row>
    <row r="25" spans="2:4" s="235" customFormat="1" ht="18.75" customHeight="1">
      <c r="B25" s="242" t="str">
        <f>IF($D$19&lt;60,"[ / ]","[   ]")</f>
        <v>[ / ]</v>
      </c>
      <c r="C25" s="251" t="s">
        <v>468</v>
      </c>
      <c r="D25" s="239" t="s">
        <v>469</v>
      </c>
    </row>
    <row r="26" spans="1:4" s="235" customFormat="1" ht="18.75" customHeight="1">
      <c r="A26" s="250" t="s">
        <v>470</v>
      </c>
      <c r="B26" s="239"/>
      <c r="C26" s="239"/>
      <c r="D26" s="239"/>
    </row>
    <row r="27" spans="1:4" s="235" customFormat="1" ht="18.75" customHeight="1">
      <c r="A27" s="239" t="s">
        <v>471</v>
      </c>
      <c r="B27" s="239"/>
      <c r="C27" s="239"/>
      <c r="D27" s="239"/>
    </row>
    <row r="28" spans="1:4" s="235" customFormat="1" ht="18.75" customHeight="1">
      <c r="A28" s="239" t="s">
        <v>472</v>
      </c>
      <c r="B28" s="239"/>
      <c r="C28" s="239"/>
      <c r="D28" s="239"/>
    </row>
    <row r="29" spans="1:4" s="235" customFormat="1" ht="18.75" customHeight="1">
      <c r="A29" s="239" t="s">
        <v>473</v>
      </c>
      <c r="B29" s="239"/>
      <c r="C29" s="239"/>
      <c r="D29" s="239"/>
    </row>
    <row r="30" spans="1:4" s="235" customFormat="1" ht="18.75" customHeight="1">
      <c r="A30" s="252" t="s">
        <v>474</v>
      </c>
      <c r="B30" s="239"/>
      <c r="C30" s="239"/>
      <c r="D30" s="239"/>
    </row>
    <row r="31" spans="1:4" s="235" customFormat="1" ht="18.75" customHeight="1">
      <c r="A31" s="231" t="s">
        <v>475</v>
      </c>
      <c r="B31" s="239"/>
      <c r="C31" s="239"/>
      <c r="D31" s="239"/>
    </row>
    <row r="32" spans="1:4" s="235" customFormat="1" ht="18.75" customHeight="1">
      <c r="A32" s="239"/>
      <c r="B32" s="239"/>
      <c r="C32" s="239"/>
      <c r="D32" s="239"/>
    </row>
    <row r="33" spans="1:4" s="235" customFormat="1" ht="27.75" customHeight="1">
      <c r="A33" s="429" t="s">
        <v>476</v>
      </c>
      <c r="B33" s="429"/>
      <c r="C33" s="241" t="s">
        <v>477</v>
      </c>
      <c r="D33" s="241" t="s">
        <v>478</v>
      </c>
    </row>
    <row r="34" spans="1:4" s="235" customFormat="1" ht="27.75" customHeight="1">
      <c r="A34" s="419"/>
      <c r="B34" s="420"/>
      <c r="C34" s="253"/>
      <c r="D34" s="253"/>
    </row>
    <row r="35" spans="1:4" s="235" customFormat="1" ht="27.75" customHeight="1">
      <c r="A35" s="424"/>
      <c r="B35" s="425"/>
      <c r="C35" s="253"/>
      <c r="D35" s="253"/>
    </row>
    <row r="36" spans="1:4" s="235" customFormat="1" ht="27.75" customHeight="1">
      <c r="A36" s="424"/>
      <c r="B36" s="425"/>
      <c r="C36" s="253"/>
      <c r="D36" s="253"/>
    </row>
    <row r="37" spans="1:4" s="235" customFormat="1" ht="27.75" customHeight="1">
      <c r="A37" s="424"/>
      <c r="B37" s="425"/>
      <c r="C37" s="253"/>
      <c r="D37" s="253"/>
    </row>
    <row r="38" spans="1:4" s="235" customFormat="1" ht="27.75" customHeight="1">
      <c r="A38" s="424"/>
      <c r="B38" s="425"/>
      <c r="C38" s="254"/>
      <c r="D38" s="254"/>
    </row>
    <row r="39" spans="1:4" s="235" customFormat="1" ht="27.75" customHeight="1">
      <c r="A39" s="424"/>
      <c r="B39" s="425"/>
      <c r="C39" s="254"/>
      <c r="D39" s="254"/>
    </row>
    <row r="40" spans="1:4" s="235" customFormat="1" ht="27.75" customHeight="1">
      <c r="A40" s="424"/>
      <c r="B40" s="425"/>
      <c r="C40" s="254"/>
      <c r="D40" s="254"/>
    </row>
    <row r="41" spans="1:4" s="235" customFormat="1" ht="27.75" customHeight="1">
      <c r="A41" s="424"/>
      <c r="B41" s="425"/>
      <c r="C41" s="254"/>
      <c r="D41" s="254"/>
    </row>
    <row r="42" spans="1:4" s="258" customFormat="1" ht="18.75" customHeight="1">
      <c r="A42" s="255" t="s">
        <v>479</v>
      </c>
      <c r="B42" s="256"/>
      <c r="C42" s="256"/>
      <c r="D42" s="257"/>
    </row>
    <row r="43" spans="1:4" s="258" customFormat="1" ht="18.75" customHeight="1">
      <c r="A43" s="423" t="s">
        <v>480</v>
      </c>
      <c r="B43" s="423"/>
      <c r="C43" s="423"/>
      <c r="D43" s="423"/>
    </row>
    <row r="44" spans="1:4" s="258" customFormat="1" ht="18.75" customHeight="1">
      <c r="A44" s="423" t="s">
        <v>481</v>
      </c>
      <c r="B44" s="423"/>
      <c r="C44" s="423"/>
      <c r="D44" s="423"/>
    </row>
    <row r="45" spans="1:4" s="258" customFormat="1" ht="18.75" customHeight="1">
      <c r="A45" s="423" t="s">
        <v>482</v>
      </c>
      <c r="B45" s="423"/>
      <c r="C45" s="423"/>
      <c r="D45" s="423"/>
    </row>
    <row r="46" spans="1:4" s="258" customFormat="1" ht="18.75" customHeight="1">
      <c r="A46" s="423" t="s">
        <v>483</v>
      </c>
      <c r="B46" s="423"/>
      <c r="C46" s="423"/>
      <c r="D46" s="423"/>
    </row>
    <row r="47" spans="1:4" ht="23.25" customHeight="1">
      <c r="A47" s="231" t="s">
        <v>484</v>
      </c>
      <c r="B47" s="260"/>
      <c r="C47" s="260"/>
      <c r="D47" s="260"/>
    </row>
    <row r="48" spans="1:5" s="258" customFormat="1" ht="23.25" customHeight="1">
      <c r="A48" s="259"/>
      <c r="B48" s="259"/>
      <c r="C48" s="259"/>
      <c r="D48" s="259"/>
      <c r="E48" s="259"/>
    </row>
    <row r="49" spans="1:4" s="235" customFormat="1" ht="25.5" customHeight="1">
      <c r="A49" s="261" t="s">
        <v>485</v>
      </c>
      <c r="B49" s="262"/>
      <c r="C49" s="263"/>
      <c r="D49" s="264"/>
    </row>
    <row r="50" spans="1:4" s="235" customFormat="1" ht="25.5" customHeight="1">
      <c r="A50" s="265" t="s">
        <v>486</v>
      </c>
      <c r="B50" s="264"/>
      <c r="C50" s="421" t="s">
        <v>487</v>
      </c>
      <c r="D50" s="422"/>
    </row>
    <row r="51" spans="1:4" s="235" customFormat="1" ht="25.5" customHeight="1">
      <c r="A51" s="266" t="s">
        <v>488</v>
      </c>
      <c r="B51" s="267"/>
      <c r="C51" s="417" t="str">
        <f>+"( "&amp;ข้อมูลผู้กรอกและสรุปภาระงาน!B11&amp;" )"</f>
        <v>( ชื่ออาจารย์ )</v>
      </c>
      <c r="D51" s="418"/>
    </row>
    <row r="52" spans="1:4" s="235" customFormat="1" ht="25.5" customHeight="1">
      <c r="A52" s="266"/>
      <c r="B52" s="267"/>
      <c r="C52" s="417" t="str">
        <f>+ข้อมูลผู้กรอกและสรุปภาระงาน!B14</f>
        <v>อาจารย์</v>
      </c>
      <c r="D52" s="418"/>
    </row>
    <row r="53" spans="1:4" s="235" customFormat="1" ht="25.5" customHeight="1">
      <c r="A53" s="268"/>
      <c r="B53" s="269"/>
      <c r="C53" s="419" t="s">
        <v>489</v>
      </c>
      <c r="D53" s="420"/>
    </row>
    <row r="54" spans="1:4" s="235" customFormat="1" ht="25.5" customHeight="1">
      <c r="A54" s="263"/>
      <c r="B54" s="263"/>
      <c r="C54" s="270"/>
      <c r="D54" s="270"/>
    </row>
    <row r="55" spans="1:4" s="235" customFormat="1" ht="25.5" customHeight="1">
      <c r="A55" s="261" t="s">
        <v>490</v>
      </c>
      <c r="B55" s="262"/>
      <c r="C55" s="263"/>
      <c r="D55" s="264"/>
    </row>
    <row r="56" spans="1:4" s="235" customFormat="1" ht="25.5" customHeight="1">
      <c r="A56" s="265" t="s">
        <v>491</v>
      </c>
      <c r="B56" s="264"/>
      <c r="C56" s="421" t="s">
        <v>487</v>
      </c>
      <c r="D56" s="422"/>
    </row>
    <row r="57" spans="1:4" s="235" customFormat="1" ht="25.5" customHeight="1">
      <c r="A57" s="266" t="s">
        <v>492</v>
      </c>
      <c r="B57" s="267"/>
      <c r="C57" s="417" t="str">
        <f>+"( "&amp;B11&amp;" )"</f>
        <v>( ชื่อผู้ประเมิน )</v>
      </c>
      <c r="D57" s="418"/>
    </row>
    <row r="58" spans="1:4" s="235" customFormat="1" ht="25.5" customHeight="1">
      <c r="A58" s="266" t="s">
        <v>493</v>
      </c>
      <c r="B58" s="267"/>
      <c r="C58" s="417" t="str">
        <f>+"ตำแหน่ง "&amp;แบบสรุปรายงาน!R6</f>
        <v>ตำแหน่ง หัวหน้าภาควิชา</v>
      </c>
      <c r="D58" s="418"/>
    </row>
    <row r="59" spans="1:4" s="235" customFormat="1" ht="25.5" customHeight="1">
      <c r="A59" s="266" t="s">
        <v>494</v>
      </c>
      <c r="B59" s="267"/>
      <c r="C59" s="417" t="s">
        <v>495</v>
      </c>
      <c r="D59" s="418"/>
    </row>
    <row r="60" spans="1:4" s="235" customFormat="1" ht="25.5" customHeight="1">
      <c r="A60" s="266" t="s">
        <v>496</v>
      </c>
      <c r="B60" s="267"/>
      <c r="C60" s="266"/>
      <c r="D60" s="267"/>
    </row>
    <row r="61" spans="1:4" s="235" customFormat="1" ht="25.5" customHeight="1">
      <c r="A61" s="266" t="s">
        <v>497</v>
      </c>
      <c r="B61" s="267"/>
      <c r="C61" s="266"/>
      <c r="D61" s="267"/>
    </row>
    <row r="62" spans="1:4" s="235" customFormat="1" ht="25.5" customHeight="1">
      <c r="A62" s="268" t="s">
        <v>498</v>
      </c>
      <c r="B62" s="269"/>
      <c r="C62" s="268"/>
      <c r="D62" s="269"/>
    </row>
    <row r="63" ht="25.5" customHeight="1">
      <c r="A63" s="271" t="s">
        <v>499</v>
      </c>
    </row>
    <row r="64" spans="1:4" s="235" customFormat="1" ht="25.5" customHeight="1">
      <c r="A64" s="261" t="s">
        <v>521</v>
      </c>
      <c r="B64" s="262"/>
      <c r="C64" s="263"/>
      <c r="D64" s="264"/>
    </row>
    <row r="65" spans="1:4" s="235" customFormat="1" ht="25.5" customHeight="1">
      <c r="A65" s="265" t="s">
        <v>500</v>
      </c>
      <c r="B65" s="264"/>
      <c r="C65" s="272" t="s">
        <v>487</v>
      </c>
      <c r="D65" s="264"/>
    </row>
    <row r="66" spans="1:4" s="235" customFormat="1" ht="25.5" customHeight="1">
      <c r="A66" s="266" t="s">
        <v>501</v>
      </c>
      <c r="B66" s="267"/>
      <c r="C66" s="272" t="s">
        <v>502</v>
      </c>
      <c r="D66" s="273"/>
    </row>
    <row r="67" spans="1:4" s="235" customFormat="1" ht="25.5" customHeight="1">
      <c r="A67" s="266" t="s">
        <v>503</v>
      </c>
      <c r="B67" s="267"/>
      <c r="C67" s="272" t="s">
        <v>495</v>
      </c>
      <c r="D67" s="273"/>
    </row>
    <row r="68" spans="1:4" s="235" customFormat="1" ht="25.5" customHeight="1">
      <c r="A68" s="266" t="s">
        <v>503</v>
      </c>
      <c r="B68" s="267"/>
      <c r="C68" s="272"/>
      <c r="D68" s="273"/>
    </row>
    <row r="69" spans="1:4" s="235" customFormat="1" ht="25.5" customHeight="1">
      <c r="A69" s="268"/>
      <c r="B69" s="269"/>
      <c r="C69" s="268"/>
      <c r="D69" s="269"/>
    </row>
    <row r="70" spans="1:4" s="235" customFormat="1" ht="25.5" customHeight="1">
      <c r="A70" s="263"/>
      <c r="B70" s="263"/>
      <c r="C70" s="263"/>
      <c r="D70" s="263"/>
    </row>
    <row r="71" spans="1:4" s="235" customFormat="1" ht="25.5" customHeight="1">
      <c r="A71" s="261" t="s">
        <v>504</v>
      </c>
      <c r="B71" s="262"/>
      <c r="C71" s="262"/>
      <c r="D71" s="264"/>
    </row>
    <row r="72" spans="1:4" s="235" customFormat="1" ht="25.5" customHeight="1">
      <c r="A72" s="265" t="s">
        <v>500</v>
      </c>
      <c r="B72" s="264"/>
      <c r="C72" s="265"/>
      <c r="D72" s="264"/>
    </row>
    <row r="73" spans="1:4" s="235" customFormat="1" ht="25.5" customHeight="1">
      <c r="A73" s="266" t="s">
        <v>501</v>
      </c>
      <c r="B73" s="267"/>
      <c r="C73" s="272" t="s">
        <v>487</v>
      </c>
      <c r="D73" s="273"/>
    </row>
    <row r="74" spans="1:4" s="235" customFormat="1" ht="25.5" customHeight="1">
      <c r="A74" s="266" t="s">
        <v>503</v>
      </c>
      <c r="B74" s="267"/>
      <c r="C74" s="272" t="s">
        <v>502</v>
      </c>
      <c r="D74" s="273"/>
    </row>
    <row r="75" spans="1:4" s="235" customFormat="1" ht="25.5" customHeight="1">
      <c r="A75" s="266" t="s">
        <v>503</v>
      </c>
      <c r="B75" s="267"/>
      <c r="C75" s="272" t="s">
        <v>495</v>
      </c>
      <c r="D75" s="273"/>
    </row>
    <row r="76" spans="1:4" s="235" customFormat="1" ht="25.5" customHeight="1">
      <c r="A76" s="268"/>
      <c r="B76" s="269"/>
      <c r="C76" s="268"/>
      <c r="D76" s="269"/>
    </row>
    <row r="77" spans="1:4" s="235" customFormat="1" ht="20.25">
      <c r="A77" s="263"/>
      <c r="B77" s="263"/>
      <c r="C77" s="263"/>
      <c r="D77" s="263"/>
    </row>
    <row r="78" spans="1:6" s="235" customFormat="1" ht="21">
      <c r="A78" s="413" t="s">
        <v>505</v>
      </c>
      <c r="B78" s="414"/>
      <c r="C78" s="414"/>
      <c r="D78" s="415"/>
      <c r="E78" s="239"/>
      <c r="F78" s="239"/>
    </row>
    <row r="79" spans="1:6" s="235" customFormat="1" ht="21">
      <c r="A79" s="416" t="s">
        <v>443</v>
      </c>
      <c r="B79" s="411"/>
      <c r="C79" s="411"/>
      <c r="D79" s="412"/>
      <c r="E79" s="239"/>
      <c r="F79" s="239"/>
    </row>
    <row r="80" spans="1:6" s="235" customFormat="1" ht="20.25">
      <c r="A80" s="275" t="s">
        <v>506</v>
      </c>
      <c r="B80" s="252"/>
      <c r="C80" s="252"/>
      <c r="D80" s="274"/>
      <c r="E80" s="239"/>
      <c r="F80" s="239"/>
    </row>
    <row r="81" spans="1:6" s="235" customFormat="1" ht="21">
      <c r="A81" s="410" t="s">
        <v>517</v>
      </c>
      <c r="B81" s="411"/>
      <c r="C81" s="411"/>
      <c r="D81" s="412"/>
      <c r="E81" s="239"/>
      <c r="F81" s="239"/>
    </row>
    <row r="82" spans="1:6" s="235" customFormat="1" ht="20.25">
      <c r="A82" s="275" t="s">
        <v>507</v>
      </c>
      <c r="B82" s="252"/>
      <c r="C82" s="252"/>
      <c r="D82" s="274"/>
      <c r="E82" s="239"/>
      <c r="F82" s="239"/>
    </row>
    <row r="83" spans="1:6" s="235" customFormat="1" ht="20.25">
      <c r="A83" s="410" t="s">
        <v>508</v>
      </c>
      <c r="B83" s="411"/>
      <c r="C83" s="411"/>
      <c r="D83" s="412"/>
      <c r="E83" s="239"/>
      <c r="F83" s="239"/>
    </row>
    <row r="84" spans="1:6" s="235" customFormat="1" ht="20.25">
      <c r="A84" s="275" t="s">
        <v>509</v>
      </c>
      <c r="B84" s="252"/>
      <c r="C84" s="252"/>
      <c r="D84" s="274"/>
      <c r="E84" s="239"/>
      <c r="F84" s="239"/>
    </row>
    <row r="85" spans="1:6" s="235" customFormat="1" ht="20.25">
      <c r="A85" s="410" t="s">
        <v>510</v>
      </c>
      <c r="B85" s="411"/>
      <c r="C85" s="411"/>
      <c r="D85" s="412"/>
      <c r="E85" s="239"/>
      <c r="F85" s="239"/>
    </row>
    <row r="86" spans="1:6" s="235" customFormat="1" ht="20.25">
      <c r="A86" s="275" t="s">
        <v>511</v>
      </c>
      <c r="B86" s="252"/>
      <c r="C86" s="252"/>
      <c r="D86" s="274"/>
      <c r="E86" s="239"/>
      <c r="F86" s="239"/>
    </row>
    <row r="87" spans="1:6" s="235" customFormat="1" ht="20.25">
      <c r="A87" s="410" t="s">
        <v>512</v>
      </c>
      <c r="B87" s="411"/>
      <c r="C87" s="411"/>
      <c r="D87" s="412"/>
      <c r="E87" s="239"/>
      <c r="F87" s="239"/>
    </row>
    <row r="88" spans="1:6" s="235" customFormat="1" ht="20.25">
      <c r="A88" s="275" t="s">
        <v>511</v>
      </c>
      <c r="B88" s="252"/>
      <c r="C88" s="252"/>
      <c r="D88" s="274"/>
      <c r="E88" s="239"/>
      <c r="F88" s="239"/>
    </row>
    <row r="89" spans="1:6" s="235" customFormat="1" ht="21">
      <c r="A89" s="410" t="s">
        <v>518</v>
      </c>
      <c r="B89" s="411"/>
      <c r="C89" s="411"/>
      <c r="D89" s="412"/>
      <c r="E89" s="239"/>
      <c r="F89" s="239"/>
    </row>
    <row r="90" spans="1:6" s="235" customFormat="1" ht="20.25">
      <c r="A90" s="275" t="s">
        <v>513</v>
      </c>
      <c r="B90" s="252"/>
      <c r="C90" s="252"/>
      <c r="D90" s="274"/>
      <c r="E90" s="239"/>
      <c r="F90" s="239"/>
    </row>
    <row r="91" spans="1:6" s="235" customFormat="1" ht="21">
      <c r="A91" s="410" t="s">
        <v>519</v>
      </c>
      <c r="B91" s="411"/>
      <c r="C91" s="411"/>
      <c r="D91" s="412"/>
      <c r="E91" s="239"/>
      <c r="F91" s="239"/>
    </row>
    <row r="92" spans="1:6" s="235" customFormat="1" ht="20.25">
      <c r="A92" s="275" t="s">
        <v>514</v>
      </c>
      <c r="B92" s="252"/>
      <c r="C92" s="252"/>
      <c r="D92" s="274"/>
      <c r="E92" s="239"/>
      <c r="F92" s="239"/>
    </row>
    <row r="93" spans="1:6" s="235" customFormat="1" ht="21">
      <c r="A93" s="410" t="s">
        <v>520</v>
      </c>
      <c r="B93" s="411"/>
      <c r="C93" s="411"/>
      <c r="D93" s="412"/>
      <c r="E93" s="239"/>
      <c r="F93" s="239"/>
    </row>
    <row r="94" spans="1:6" s="235" customFormat="1" ht="20.25">
      <c r="A94" s="276" t="s">
        <v>515</v>
      </c>
      <c r="B94" s="277"/>
      <c r="C94" s="277"/>
      <c r="D94" s="278"/>
      <c r="E94" s="239"/>
      <c r="F94" s="239"/>
    </row>
  </sheetData>
  <sheetProtection password="CF57" sheet="1"/>
  <mergeCells count="33">
    <mergeCell ref="A1:D1"/>
    <mergeCell ref="A2:D2"/>
    <mergeCell ref="A19:B19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D43"/>
    <mergeCell ref="A44:D44"/>
    <mergeCell ref="A45:D45"/>
    <mergeCell ref="A46:D46"/>
    <mergeCell ref="C50:D50"/>
    <mergeCell ref="C51:D51"/>
    <mergeCell ref="C52:D52"/>
    <mergeCell ref="C53:D53"/>
    <mergeCell ref="C56:D56"/>
    <mergeCell ref="C57:D57"/>
    <mergeCell ref="C58:D58"/>
    <mergeCell ref="C59:D59"/>
    <mergeCell ref="A89:D89"/>
    <mergeCell ref="A91:D91"/>
    <mergeCell ref="A93:D93"/>
    <mergeCell ref="A78:D78"/>
    <mergeCell ref="A79:D79"/>
    <mergeCell ref="A81:D81"/>
    <mergeCell ref="A83:D83"/>
    <mergeCell ref="A85:D85"/>
    <mergeCell ref="A87:D87"/>
  </mergeCells>
  <printOptions/>
  <pageMargins left="0.19" right="0.18" top="0.28" bottom="0.23" header="0.19" footer="0.17"/>
  <pageSetup fitToHeight="3" horizontalDpi="600" verticalDpi="600" orientation="portrait" paperSize="9" scale="94" r:id="rId1"/>
  <rowBreaks count="2" manualBreakCount="2">
    <brk id="41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I36"/>
  <sheetViews>
    <sheetView tabSelected="1" zoomScale="120" zoomScaleNormal="120" zoomScalePageLayoutView="0" workbookViewId="0" topLeftCell="A1">
      <selection activeCell="E15" sqref="E15"/>
    </sheetView>
  </sheetViews>
  <sheetFormatPr defaultColWidth="9.140625" defaultRowHeight="32.25" customHeight="1"/>
  <cols>
    <col min="1" max="1" width="17.140625" style="4" customWidth="1"/>
    <col min="2" max="2" width="48.28125" style="4" customWidth="1"/>
    <col min="3" max="5" width="20.8515625" style="4" customWidth="1"/>
    <col min="6" max="6" width="20.8515625" style="4" hidden="1" customWidth="1"/>
    <col min="7" max="7" width="83.8515625" style="4" hidden="1" customWidth="1"/>
    <col min="8" max="8" width="31.00390625" style="4" hidden="1" customWidth="1"/>
    <col min="9" max="9" width="52.140625" style="4" hidden="1" customWidth="1"/>
    <col min="10" max="16384" width="9.140625" style="4" customWidth="1"/>
  </cols>
  <sheetData>
    <row r="1" spans="1:5" s="2" customFormat="1" ht="18">
      <c r="A1" s="307" t="s">
        <v>367</v>
      </c>
      <c r="B1" s="307"/>
      <c r="C1" s="307"/>
      <c r="D1" s="307"/>
      <c r="E1" s="307"/>
    </row>
    <row r="2" spans="1:5" ht="11.25" customHeight="1">
      <c r="A2" s="3"/>
      <c r="B2" s="3"/>
      <c r="C2" s="3"/>
      <c r="D2" s="3"/>
      <c r="E2" s="3"/>
    </row>
    <row r="3" spans="1:5" ht="32.25" customHeight="1" hidden="1">
      <c r="A3" s="3"/>
      <c r="B3" s="3" t="s">
        <v>157</v>
      </c>
      <c r="C3" s="3"/>
      <c r="D3" s="3"/>
      <c r="E3" s="3"/>
    </row>
    <row r="4" spans="1:5" ht="32.25" customHeight="1" hidden="1">
      <c r="A4" s="3"/>
      <c r="B4" s="3" t="s">
        <v>188</v>
      </c>
      <c r="C4" s="308" t="s">
        <v>368</v>
      </c>
      <c r="D4" s="308"/>
      <c r="E4" s="308"/>
    </row>
    <row r="5" spans="1:5" ht="32.25" customHeight="1" hidden="1">
      <c r="A5" s="3"/>
      <c r="B5" s="3" t="s">
        <v>372</v>
      </c>
      <c r="C5" s="308" t="s">
        <v>355</v>
      </c>
      <c r="D5" s="308"/>
      <c r="E5" s="308"/>
    </row>
    <row r="6" spans="1:5" ht="44.25" customHeight="1" hidden="1">
      <c r="A6" s="3"/>
      <c r="B6" s="3" t="s">
        <v>371</v>
      </c>
      <c r="C6" s="308" t="s">
        <v>369</v>
      </c>
      <c r="D6" s="308"/>
      <c r="E6" s="308"/>
    </row>
    <row r="7" spans="1:5" ht="47.25" customHeight="1" hidden="1">
      <c r="A7" s="3"/>
      <c r="B7" s="3" t="s">
        <v>18</v>
      </c>
      <c r="C7" s="308" t="s">
        <v>370</v>
      </c>
      <c r="D7" s="308"/>
      <c r="E7" s="308"/>
    </row>
    <row r="8" spans="1:5" ht="32.25" customHeight="1" hidden="1">
      <c r="A8" s="3"/>
      <c r="B8" s="3"/>
      <c r="C8" s="308"/>
      <c r="D8" s="308"/>
      <c r="E8" s="308"/>
    </row>
    <row r="9" spans="1:5" ht="32.25" customHeight="1" hidden="1">
      <c r="A9" s="3"/>
      <c r="B9" s="3"/>
      <c r="C9" s="5"/>
      <c r="D9" s="5"/>
      <c r="E9" s="5"/>
    </row>
    <row r="10" spans="1:5" ht="5.25" customHeight="1">
      <c r="A10" s="3"/>
      <c r="B10" s="3"/>
      <c r="C10" s="3"/>
      <c r="D10" s="3"/>
      <c r="E10" s="3"/>
    </row>
    <row r="11" spans="1:5" ht="17.25">
      <c r="A11" s="6" t="s">
        <v>23</v>
      </c>
      <c r="B11" s="7" t="s">
        <v>846</v>
      </c>
      <c r="C11" s="99" t="s">
        <v>160</v>
      </c>
      <c r="D11" s="305" t="s">
        <v>188</v>
      </c>
      <c r="E11" s="306"/>
    </row>
    <row r="12" spans="1:5" ht="48" customHeight="1">
      <c r="A12" s="6" t="s">
        <v>22</v>
      </c>
      <c r="B12" s="7" t="s">
        <v>847</v>
      </c>
      <c r="C12" s="301" t="str">
        <f>VLOOKUP(D11,B4:E8,2,FALSE)</f>
        <v>ภาระงานการสอนและพัฒนานิสิตไม่น้อยกว่า 18 ภาระงาน(โดยเป็นภาระงานสอนโดยตรงไม่น้อยกว่า 6 ภาระงาน) ภาระงานวิจัยและบริการวิชาการไม่น้อยกว่า 7 ภาระงานรวมไม่น้อยกว่า 35 ภาระงาน</v>
      </c>
      <c r="D12" s="302"/>
      <c r="E12" s="303"/>
    </row>
    <row r="13" spans="1:5" ht="17.25">
      <c r="A13" s="6" t="s">
        <v>380</v>
      </c>
      <c r="B13" s="81" t="s">
        <v>845</v>
      </c>
      <c r="C13" s="98"/>
      <c r="D13" s="97"/>
      <c r="E13" s="97"/>
    </row>
    <row r="14" spans="1:5" ht="17.25">
      <c r="A14" s="6" t="s">
        <v>382</v>
      </c>
      <c r="B14" s="80" t="s">
        <v>527</v>
      </c>
      <c r="C14" s="97"/>
      <c r="D14" s="97"/>
      <c r="E14" s="97"/>
    </row>
    <row r="15" spans="1:5" ht="17.25">
      <c r="A15" s="6" t="s">
        <v>799</v>
      </c>
      <c r="B15" s="7" t="s">
        <v>447</v>
      </c>
      <c r="C15" s="6" t="s">
        <v>838</v>
      </c>
      <c r="D15" s="81" t="s">
        <v>848</v>
      </c>
      <c r="E15" s="97"/>
    </row>
    <row r="16" spans="1:5" ht="18" customHeight="1">
      <c r="A16" s="6" t="s">
        <v>153</v>
      </c>
      <c r="B16" s="8" t="s">
        <v>844</v>
      </c>
      <c r="C16" s="82"/>
      <c r="D16" s="82"/>
      <c r="E16" s="82"/>
    </row>
    <row r="17" spans="1:5" ht="9" customHeight="1">
      <c r="A17" s="82"/>
      <c r="B17" s="82"/>
      <c r="C17" s="82"/>
      <c r="D17" s="82"/>
      <c r="E17" s="82"/>
    </row>
    <row r="18" spans="1:9" ht="17.25">
      <c r="A18" s="83" t="s">
        <v>1</v>
      </c>
      <c r="B18" s="83" t="s">
        <v>2</v>
      </c>
      <c r="C18" s="83" t="s">
        <v>154</v>
      </c>
      <c r="D18" s="83" t="s">
        <v>158</v>
      </c>
      <c r="E18" s="83" t="s">
        <v>159</v>
      </c>
      <c r="F18" s="9" t="s">
        <v>341</v>
      </c>
      <c r="G18" s="10"/>
      <c r="H18" s="10" t="s">
        <v>342</v>
      </c>
      <c r="I18" s="10" t="s">
        <v>356</v>
      </c>
    </row>
    <row r="19" spans="1:9" ht="17.25">
      <c r="A19" s="84">
        <v>1</v>
      </c>
      <c r="B19" s="85" t="s">
        <v>189</v>
      </c>
      <c r="C19" s="86">
        <f>C20+C23+C26+C27</f>
        <v>0</v>
      </c>
      <c r="D19" s="84">
        <f>IF($D$11="กลุ่มผู้ดำรงตำแหน่งทางวิชาการ",18,"")</f>
        <v>18</v>
      </c>
      <c r="E19" s="84" t="str">
        <f>IF(AND($D$11="กลุ่มผู้ดำรงตำแหน่งทางวิชาการ",C19&gt;=D19),"ผ่านเกณฑ์",IF(AND($D$11="กลุ่มผู้ดำรงตำแหน่งทางวิชาการ",C19&lt;D19),"ไม่ผ่านเกณฑ์",IF($D$11&lt;&gt;"กลุ่มผู้ดำรงตำแหน่งทางวิชาการ","")))</f>
        <v>ไม่ผ่านเกณฑ์</v>
      </c>
      <c r="F19" s="11"/>
      <c r="G19" s="11"/>
      <c r="H19" s="11"/>
      <c r="I19" s="11"/>
    </row>
    <row r="20" spans="1:9" ht="17.25">
      <c r="A20" s="84"/>
      <c r="B20" s="87" t="s">
        <v>338</v>
      </c>
      <c r="C20" s="88">
        <f>ภาระงานการสอนโดยตรงในเวลา!H57</f>
        <v>0</v>
      </c>
      <c r="D20" s="83"/>
      <c r="E20" s="83"/>
      <c r="F20" s="12"/>
      <c r="G20" s="13"/>
      <c r="H20" s="14" t="str">
        <f>IF(AND(F21&lt;&gt;0,F22&lt;&gt;0),"ภาระงานสองระดับ","ภาระงานระดับเดียว")</f>
        <v>ภาระงานระดับเดียว</v>
      </c>
      <c r="I20" s="14" t="str">
        <f>IF(E32="ไม่ผ่านเกณฑ์","ไม่ผ่านเกณฑ์ภาระงานที่จะสามารถเบิกค่าสอนเกินภาระงานได้",IF(SUM(H21:H22)&lt;=0,"ไม่มีการเบิกค่าสอนเกินภาระงานในเวลาราชการ",IF(SUM(H21:H22)&gt;15,"เบิกค่าสอนเกินภาระงานในเวลาราชการได้ไม่เกิน 15 หน่วยกิต","เบิกค่าสอนเกินภาระงานในเวลาราชการ  "&amp;SUM(H21:H22)&amp;"  หน่วยกิต")))</f>
        <v>ไม่ผ่านเกณฑ์ภาระงานที่จะสามารถเบิกค่าสอนเกินภาระงานได้</v>
      </c>
    </row>
    <row r="21" spans="1:9" ht="17.25">
      <c r="A21" s="84"/>
      <c r="B21" s="87" t="s">
        <v>343</v>
      </c>
      <c r="C21" s="88">
        <f>ภาระงานการสอนโดยตรงในเวลา!F61</f>
        <v>0</v>
      </c>
      <c r="D21" s="83"/>
      <c r="E21" s="83"/>
      <c r="F21" s="15">
        <f>+ภาระงานการสอนโดยตรงในเวลา!F59</f>
        <v>0</v>
      </c>
      <c r="G21" s="14"/>
      <c r="H21" s="11">
        <f>IF(AND(H20="ภาระงานระดับเดียว",F21=0,D11="กลุ่มผู้ดำรงตำแหน่งทางวิชาการ"),0,IF(AND(H20="ภาระงานระดับเดียว",F21&lt;&gt;0,D11="กลุ่มผู้ดำรงตำแหน่งทางวิชาการ"),F21-10,IF(AND(H20="ภาระงานสองระดับ",D11="กลุ่มผู้ดำรงตำแหน่งทางวิชาการ"),F21-5,IF(AND(H20="ภาระงานระดับเดียว",F21=0,D11="อธิการบดี/รองอธิการบดี/คณบดี/ผู้อำนวยการสำนัก หรือเทียบเท่า"),0,IF(AND(H20="ภาระงานระดับเดียว",F21&gt;0,F21&lt;3,D11="อธิการบดี/รองอธิการบดี/คณบดี/ผู้อำนวยการสำนัก หรือเทียบเท่า"),F21,IF(AND(H20="ภาระงานระดับเดียว",F21&gt;0,F21&gt;=3,D11="อธิการบดี/รองอธิการบดี/คณบดี/ผู้อำนวยการสำนัก หรือเทียบเท่า"),3))))))</f>
        <v>0</v>
      </c>
      <c r="I21" s="11"/>
    </row>
    <row r="22" spans="1:9" ht="17.25">
      <c r="A22" s="84"/>
      <c r="B22" s="87" t="s">
        <v>344</v>
      </c>
      <c r="C22" s="88">
        <f>ภาระงานการสอนโดยตรงในเวลา!H61</f>
        <v>0</v>
      </c>
      <c r="D22" s="83"/>
      <c r="E22" s="83"/>
      <c r="F22" s="15">
        <f>+ภาระงานการสอนโดยตรงในเวลา!H59</f>
        <v>0</v>
      </c>
      <c r="G22" s="14"/>
      <c r="H22" s="11">
        <f>IF(AND(H20="ภาระงานระดับเดียว",F22=0),0,IF(AND(H20="ภาระงานระดับเดียว",F22&lt;&gt;0),F22-6,F22-3))</f>
        <v>0</v>
      </c>
      <c r="I22" s="11"/>
    </row>
    <row r="23" spans="1:9" ht="17.25">
      <c r="A23" s="84"/>
      <c r="B23" s="87" t="s">
        <v>339</v>
      </c>
      <c r="C23" s="88">
        <f>+ภาระงานการสอนโดยตรงนอกเวลา!H57</f>
        <v>0</v>
      </c>
      <c r="D23" s="83"/>
      <c r="E23" s="83"/>
      <c r="F23" s="12"/>
      <c r="G23" s="16" t="s">
        <v>357</v>
      </c>
      <c r="H23" s="11"/>
      <c r="I23" s="14" t="str">
        <f>IF(SUM(H24:H25)&lt;=0,"ไม่มีการเบิกค่าสอนเกินภาระงานนอกเวลาราชการ",IF(SUM(H24:H25)&gt;15,15,"เบิกค่าสอนเกินภาระงานนอกเวลาราชการ  "&amp;SUM(H24:H25)&amp;"  หน่วยกิต"))</f>
        <v>ไม่มีการเบิกค่าสอนเกินภาระงานนอกเวลาราชการ</v>
      </c>
    </row>
    <row r="24" spans="1:9" ht="17.25">
      <c r="A24" s="84"/>
      <c r="B24" s="87" t="s">
        <v>345</v>
      </c>
      <c r="C24" s="88">
        <f>ภาระงานการสอนโดยตรงนอกเวลา!F61</f>
        <v>0</v>
      </c>
      <c r="D24" s="83"/>
      <c r="E24" s="83"/>
      <c r="F24" s="15">
        <f>+ภาระงานการสอนโดยตรงนอกเวลา!F59</f>
        <v>0</v>
      </c>
      <c r="G24" s="14">
        <f>IF(AND(C20&lt;6,F24&gt;0),F24-((6-C20)/3),F24)</f>
        <v>0</v>
      </c>
      <c r="H24" s="14">
        <f>+G24</f>
        <v>0</v>
      </c>
      <c r="I24" s="11"/>
    </row>
    <row r="25" spans="1:9" ht="17.25">
      <c r="A25" s="84"/>
      <c r="B25" s="87" t="s">
        <v>346</v>
      </c>
      <c r="C25" s="88">
        <f>ภาระงานการสอนโดยตรงนอกเวลา!H61</f>
        <v>0</v>
      </c>
      <c r="D25" s="83"/>
      <c r="E25" s="83"/>
      <c r="F25" s="15">
        <f>ภาระงานการสอนโดยตรงนอกเวลา!H59</f>
        <v>0</v>
      </c>
      <c r="G25" s="14">
        <f>IF(AND(C20&lt;6,F24&lt;=0),F25-((6-C20)/3),F25)</f>
        <v>-2</v>
      </c>
      <c r="H25" s="14">
        <f>+G25</f>
        <v>-2</v>
      </c>
      <c r="I25" s="11"/>
    </row>
    <row r="26" spans="1:9" ht="17.25">
      <c r="A26" s="84"/>
      <c r="B26" s="87" t="s">
        <v>340</v>
      </c>
      <c r="C26" s="88">
        <f>+ภาระงานการสอนอื่นๆ!F19</f>
        <v>0</v>
      </c>
      <c r="D26" s="83"/>
      <c r="E26" s="83"/>
      <c r="F26" s="12"/>
      <c r="G26" s="11"/>
      <c r="H26" s="11"/>
      <c r="I26" s="11"/>
    </row>
    <row r="27" spans="1:9" ht="17.25">
      <c r="A27" s="84"/>
      <c r="B27" s="87" t="s">
        <v>373</v>
      </c>
      <c r="C27" s="88">
        <f>+'ปริญญานิพนธ์ พัฒนานิสิตและอื่นๆ'!P33</f>
        <v>0</v>
      </c>
      <c r="D27" s="83"/>
      <c r="E27" s="83"/>
      <c r="F27" s="12"/>
      <c r="G27" s="11"/>
      <c r="H27" s="11"/>
      <c r="I27" s="11"/>
    </row>
    <row r="28" spans="1:9" ht="17.25">
      <c r="A28" s="84">
        <v>2</v>
      </c>
      <c r="B28" s="85" t="s">
        <v>190</v>
      </c>
      <c r="C28" s="86">
        <f>ภาระงานวิจัย!I66+ภาระงานบริการวิชาการ!I44</f>
        <v>0</v>
      </c>
      <c r="D28" s="84">
        <f>IF($D$11="กลุ่มผู้ดำรงตำแหน่งทางวิชาการ",7,"")</f>
        <v>7</v>
      </c>
      <c r="E28" s="84" t="str">
        <f>IF(AND($D$11="กลุ่มผู้ดำรงตำแหน่งทางวิชาการ",C28&gt;=D28),"ผ่านเกณฑ์",IF(AND($D$11="กลุ่มผู้ดำรงตำแหน่งทางวิชาการ",C28&lt;D28),"ไม่ผ่านเกณฑ์",IF($D$11&lt;&gt;"กลุ่มผู้ดำรงตำแหน่งทางวิชาการ","")))</f>
        <v>ไม่ผ่านเกณฑ์</v>
      </c>
      <c r="F28" s="11"/>
      <c r="G28" s="11"/>
      <c r="H28" s="11"/>
      <c r="I28" s="11"/>
    </row>
    <row r="29" spans="1:9" ht="17.25">
      <c r="A29" s="84">
        <v>3</v>
      </c>
      <c r="B29" s="85" t="s">
        <v>8</v>
      </c>
      <c r="C29" s="86">
        <f>ภาระงานทำนุบำรุงศิลปวัฒนธรรม!E5</f>
        <v>0</v>
      </c>
      <c r="D29" s="84"/>
      <c r="E29" s="84"/>
      <c r="F29" s="11"/>
      <c r="G29" s="11"/>
      <c r="H29" s="11"/>
      <c r="I29" s="11"/>
    </row>
    <row r="30" spans="1:9" ht="17.25">
      <c r="A30" s="84">
        <v>4</v>
      </c>
      <c r="B30" s="85" t="s">
        <v>191</v>
      </c>
      <c r="C30" s="86">
        <f>ภาระงานบริหาร!E64</f>
        <v>0</v>
      </c>
      <c r="D30" s="84"/>
      <c r="E30" s="84"/>
      <c r="F30" s="11"/>
      <c r="G30" s="11"/>
      <c r="H30" s="11"/>
      <c r="I30" s="11"/>
    </row>
    <row r="31" spans="1:9" ht="17.25">
      <c r="A31" s="83" t="s">
        <v>9</v>
      </c>
      <c r="B31" s="87"/>
      <c r="C31" s="88">
        <f>+C19+C28+C29+C30</f>
        <v>0</v>
      </c>
      <c r="D31" s="83">
        <v>35</v>
      </c>
      <c r="E31" s="83" t="str">
        <f>IF(C31&gt;=D31,"ผ่านเกณฑ์","ไม่ผ่านเกณฑ์")</f>
        <v>ไม่ผ่านเกณฑ์</v>
      </c>
      <c r="F31" s="11"/>
      <c r="G31" s="11"/>
      <c r="H31" s="11"/>
      <c r="I31" s="11"/>
    </row>
    <row r="32" spans="1:9" ht="21">
      <c r="A32" s="304" t="s">
        <v>192</v>
      </c>
      <c r="B32" s="304"/>
      <c r="C32" s="304"/>
      <c r="D32" s="304"/>
      <c r="E32" s="83" t="str">
        <f>IF(OR(E19="ไม่ผ่านเกณฑ์",E28="ไม่ผ่านเกณฑ์",E31="ไม่ผ่านเกณฑ์"),"ไม่ผ่านเกณฑ์","ผ่านเกณฑ์")</f>
        <v>ไม่ผ่านเกณฑ์</v>
      </c>
      <c r="F32" s="11"/>
      <c r="G32" s="11"/>
      <c r="H32" s="11"/>
      <c r="I32" s="11"/>
    </row>
    <row r="33" spans="1:5" ht="33" customHeight="1">
      <c r="A33" s="89"/>
      <c r="B33" s="89"/>
      <c r="C33" s="89"/>
      <c r="D33" s="89"/>
      <c r="E33" s="90"/>
    </row>
    <row r="34" spans="1:5" ht="26.25" customHeight="1">
      <c r="A34" s="91"/>
      <c r="B34" s="92"/>
      <c r="C34" s="92"/>
      <c r="D34" s="93" t="s">
        <v>10</v>
      </c>
      <c r="E34" s="94"/>
    </row>
    <row r="35" spans="1:5" ht="26.25" customHeight="1">
      <c r="A35" s="91"/>
      <c r="B35" s="95"/>
      <c r="C35" s="92"/>
      <c r="D35" s="93" t="s">
        <v>11</v>
      </c>
      <c r="E35" s="91"/>
    </row>
    <row r="36" spans="1:5" ht="26.25" customHeight="1">
      <c r="A36" s="91"/>
      <c r="B36" s="95"/>
      <c r="C36" s="92"/>
      <c r="D36" s="96" t="s">
        <v>12</v>
      </c>
      <c r="E36" s="91"/>
    </row>
  </sheetData>
  <sheetProtection sheet="1"/>
  <protectedRanges>
    <protectedRange sqref="D11:E11" name="ช่วง2"/>
    <protectedRange password="CF57" sqref="C13 B11:B16 D15" name="ช่วง1"/>
  </protectedRanges>
  <mergeCells count="9">
    <mergeCell ref="C12:E12"/>
    <mergeCell ref="A32:D32"/>
    <mergeCell ref="D11:E11"/>
    <mergeCell ref="A1:E1"/>
    <mergeCell ref="C7:E7"/>
    <mergeCell ref="C4:E4"/>
    <mergeCell ref="C8:E8"/>
    <mergeCell ref="C5:E5"/>
    <mergeCell ref="C6:E6"/>
  </mergeCells>
  <conditionalFormatting sqref="E19:E33">
    <cfRule type="cellIs" priority="1" dxfId="3" operator="equal" stopIfTrue="1">
      <formula>"ไม่ผ่านเกณฑ์"</formula>
    </cfRule>
  </conditionalFormatting>
  <dataValidations count="3">
    <dataValidation type="list" allowBlank="1" showInputMessage="1" showErrorMessage="1" sqref="D11">
      <formula1>INDIRECT(กลุ่มงาน)</formula1>
    </dataValidation>
    <dataValidation type="list" allowBlank="1" showInputMessage="1" showErrorMessage="1" sqref="B14">
      <formula1>"เลือกตำแหน่งทางวิชาการ,อาจารย์,ผู้ช่วยศาสตราจารย์,รองศาสตราจารย์,ศาสตราจารย์"</formula1>
    </dataValidation>
    <dataValidation type="list" allowBlank="1" showInputMessage="1" showErrorMessage="1" sqref="B13 D15">
      <formula1>"เลือกตำแหน่งบริหาร,-,หัวหน้าภาควิชา,หัวหน้าศูนย์,ผู้ช่วยคณบดี,รองคณบดี,คณบดี,ผู้ช่วยอธิการบดี,รองอธิการบดี"</formula1>
    </dataValidation>
  </dataValidations>
  <printOptions horizontalCentered="1"/>
  <pageMargins left="0.5905511811023623" right="0.7480314960629921" top="0.86" bottom="0.6299212598425197" header="0.2755905511811024" footer="0.2362204724409449"/>
  <pageSetup fitToHeight="1" fitToWidth="1" horizontalDpi="300" verticalDpi="300" orientation="landscape" paperSize="9" scale="93" r:id="rId1"/>
  <headerFooter alignWithMargins="0">
    <oddFooter>&amp;L&amp;Z&amp;F : แผ่นงาน ; &amp;A&amp;R&amp;8พิมพ์วันที่ &amp;D หน้าที่&amp;P/&amp;N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66"/>
  <sheetViews>
    <sheetView zoomScale="110" zoomScaleNormal="110" workbookViewId="0" topLeftCell="A56">
      <selection activeCell="F66" sqref="F66"/>
    </sheetView>
  </sheetViews>
  <sheetFormatPr defaultColWidth="9.140625" defaultRowHeight="12.75"/>
  <cols>
    <col min="1" max="1" width="11.7109375" style="18" customWidth="1"/>
    <col min="2" max="2" width="30.57421875" style="18" customWidth="1"/>
    <col min="3" max="3" width="11.00390625" style="18" customWidth="1"/>
    <col min="4" max="4" width="10.7109375" style="18" hidden="1" customWidth="1"/>
    <col min="5" max="5" width="18.421875" style="18" customWidth="1"/>
    <col min="6" max="6" width="7.28125" style="18" customWidth="1"/>
    <col min="7" max="7" width="12.00390625" style="18" customWidth="1"/>
    <col min="8" max="8" width="6.8515625" style="18" customWidth="1"/>
    <col min="9" max="9" width="28.00390625" style="18" customWidth="1"/>
    <col min="10" max="10" width="12.28125" style="18" customWidth="1"/>
    <col min="11" max="11" width="9.7109375" style="18" customWidth="1"/>
    <col min="12" max="12" width="7.57421875" style="18" customWidth="1"/>
    <col min="13" max="16" width="10.7109375" style="18" hidden="1" customWidth="1"/>
    <col min="17" max="17" width="12.8515625" style="18" hidden="1" customWidth="1"/>
    <col min="18" max="18" width="10.7109375" style="18" hidden="1" customWidth="1"/>
    <col min="19" max="19" width="10.7109375" style="18" customWidth="1"/>
    <col min="20" max="20" width="25.57421875" style="18" customWidth="1"/>
    <col min="21" max="21" width="17.57421875" style="18" customWidth="1"/>
    <col min="22" max="22" width="16.00390625" style="18" hidden="1" customWidth="1"/>
    <col min="23" max="23" width="0" style="18" hidden="1" customWidth="1"/>
    <col min="24" max="16384" width="9.140625" style="18" customWidth="1"/>
  </cols>
  <sheetData>
    <row r="1" spans="2:13" ht="25.5" customHeight="1" hidden="1">
      <c r="B1" s="17" t="s">
        <v>20</v>
      </c>
      <c r="C1" s="17" t="s">
        <v>66</v>
      </c>
      <c r="D1" s="17" t="s">
        <v>67</v>
      </c>
      <c r="E1" s="17"/>
      <c r="F1" s="17" t="s">
        <v>6</v>
      </c>
      <c r="G1" s="17" t="s">
        <v>6</v>
      </c>
      <c r="H1" s="17" t="s">
        <v>6</v>
      </c>
      <c r="I1" s="17"/>
      <c r="J1" s="17"/>
      <c r="K1" s="17"/>
      <c r="L1" s="17"/>
      <c r="M1" s="17"/>
    </row>
    <row r="2" spans="2:17" ht="51" customHeight="1" hidden="1">
      <c r="B2" s="19" t="s">
        <v>237</v>
      </c>
      <c r="C2" s="20">
        <v>2</v>
      </c>
      <c r="D2" s="21" t="s">
        <v>313</v>
      </c>
      <c r="E2" s="21" t="s">
        <v>155</v>
      </c>
      <c r="F2" s="21" t="s">
        <v>15</v>
      </c>
      <c r="G2" s="21" t="s">
        <v>347</v>
      </c>
      <c r="H2" s="21" t="s">
        <v>310</v>
      </c>
      <c r="I2" s="21">
        <v>20</v>
      </c>
      <c r="J2" s="21">
        <v>50</v>
      </c>
      <c r="K2" s="21"/>
      <c r="L2" s="21"/>
      <c r="M2" s="21"/>
      <c r="Q2" s="18" t="s">
        <v>245</v>
      </c>
    </row>
    <row r="3" spans="2:17" ht="51" customHeight="1" hidden="1">
      <c r="B3" s="19" t="s">
        <v>522</v>
      </c>
      <c r="C3" s="20">
        <v>1</v>
      </c>
      <c r="D3" s="21" t="s">
        <v>313</v>
      </c>
      <c r="E3" s="21" t="s">
        <v>155</v>
      </c>
      <c r="F3" s="21" t="s">
        <v>15</v>
      </c>
      <c r="G3" s="21" t="s">
        <v>347</v>
      </c>
      <c r="H3" s="21" t="s">
        <v>310</v>
      </c>
      <c r="I3" s="21">
        <v>20</v>
      </c>
      <c r="J3" s="21">
        <v>50</v>
      </c>
      <c r="K3" s="21"/>
      <c r="L3" s="21"/>
      <c r="M3" s="21"/>
      <c r="Q3" s="18" t="s">
        <v>352</v>
      </c>
    </row>
    <row r="4" spans="2:17" ht="51" customHeight="1" hidden="1">
      <c r="B4" s="19" t="s">
        <v>238</v>
      </c>
      <c r="C4" s="20">
        <v>3</v>
      </c>
      <c r="D4" s="21" t="s">
        <v>313</v>
      </c>
      <c r="E4" s="21" t="s">
        <v>155</v>
      </c>
      <c r="F4" s="21" t="s">
        <v>15</v>
      </c>
      <c r="G4" s="21" t="s">
        <v>347</v>
      </c>
      <c r="H4" s="21" t="s">
        <v>310</v>
      </c>
      <c r="I4" s="21">
        <v>20</v>
      </c>
      <c r="J4" s="21">
        <v>50</v>
      </c>
      <c r="K4" s="21"/>
      <c r="L4" s="21"/>
      <c r="M4" s="21"/>
      <c r="Q4" s="18" t="s">
        <v>349</v>
      </c>
    </row>
    <row r="5" spans="2:17" ht="51" customHeight="1" hidden="1">
      <c r="B5" s="19" t="s">
        <v>239</v>
      </c>
      <c r="C5" s="20">
        <v>2</v>
      </c>
      <c r="D5" s="21" t="s">
        <v>313</v>
      </c>
      <c r="E5" s="21" t="s">
        <v>155</v>
      </c>
      <c r="F5" s="21" t="s">
        <v>15</v>
      </c>
      <c r="G5" s="21" t="s">
        <v>347</v>
      </c>
      <c r="H5" s="21" t="s">
        <v>310</v>
      </c>
      <c r="I5" s="21">
        <v>20</v>
      </c>
      <c r="J5" s="21">
        <v>50</v>
      </c>
      <c r="K5" s="21"/>
      <c r="L5" s="21"/>
      <c r="M5" s="21"/>
      <c r="Q5" s="18" t="s">
        <v>350</v>
      </c>
    </row>
    <row r="6" spans="2:13" ht="51" customHeight="1" hidden="1">
      <c r="B6" s="19" t="s">
        <v>284</v>
      </c>
      <c r="C6" s="20">
        <v>3</v>
      </c>
      <c r="D6" s="21" t="s">
        <v>313</v>
      </c>
      <c r="E6" s="21" t="s">
        <v>155</v>
      </c>
      <c r="F6" s="21" t="s">
        <v>15</v>
      </c>
      <c r="G6" s="21" t="s">
        <v>347</v>
      </c>
      <c r="H6" s="21" t="s">
        <v>244</v>
      </c>
      <c r="I6" s="21">
        <v>20</v>
      </c>
      <c r="J6" s="21">
        <v>50</v>
      </c>
      <c r="K6" s="21"/>
      <c r="L6" s="21"/>
      <c r="M6" s="21"/>
    </row>
    <row r="7" spans="2:13" ht="51" customHeight="1" hidden="1">
      <c r="B7" s="19" t="s">
        <v>285</v>
      </c>
      <c r="C7" s="20">
        <v>2</v>
      </c>
      <c r="D7" s="21" t="s">
        <v>313</v>
      </c>
      <c r="E7" s="21" t="s">
        <v>155</v>
      </c>
      <c r="F7" s="21" t="s">
        <v>15</v>
      </c>
      <c r="G7" s="21" t="s">
        <v>347</v>
      </c>
      <c r="H7" s="21" t="s">
        <v>244</v>
      </c>
      <c r="I7" s="21">
        <v>20</v>
      </c>
      <c r="J7" s="21">
        <v>50</v>
      </c>
      <c r="K7" s="21"/>
      <c r="L7" s="21"/>
      <c r="M7" s="21"/>
    </row>
    <row r="8" spans="2:13" ht="51" customHeight="1" hidden="1">
      <c r="B8" s="19" t="s">
        <v>240</v>
      </c>
      <c r="C8" s="20">
        <f>2*1.5</f>
        <v>3</v>
      </c>
      <c r="D8" s="21" t="s">
        <v>313</v>
      </c>
      <c r="E8" s="21" t="s">
        <v>155</v>
      </c>
      <c r="F8" s="21" t="s">
        <v>15</v>
      </c>
      <c r="G8" s="21" t="s">
        <v>347</v>
      </c>
      <c r="H8" s="21" t="s">
        <v>310</v>
      </c>
      <c r="I8" s="21">
        <v>20</v>
      </c>
      <c r="J8" s="21">
        <v>50</v>
      </c>
      <c r="K8" s="21"/>
      <c r="L8" s="21"/>
      <c r="M8" s="21"/>
    </row>
    <row r="9" spans="2:13" ht="51" customHeight="1" hidden="1">
      <c r="B9" s="19" t="s">
        <v>241</v>
      </c>
      <c r="C9" s="20">
        <v>1.5</v>
      </c>
      <c r="D9" s="21" t="s">
        <v>313</v>
      </c>
      <c r="E9" s="21" t="s">
        <v>155</v>
      </c>
      <c r="F9" s="21" t="s">
        <v>15</v>
      </c>
      <c r="G9" s="21" t="s">
        <v>347</v>
      </c>
      <c r="H9" s="21" t="s">
        <v>310</v>
      </c>
      <c r="I9" s="21">
        <v>20</v>
      </c>
      <c r="J9" s="21">
        <v>50</v>
      </c>
      <c r="K9" s="21"/>
      <c r="L9" s="21"/>
      <c r="M9" s="21"/>
    </row>
    <row r="10" spans="2:13" ht="51" customHeight="1" hidden="1">
      <c r="B10" s="19" t="s">
        <v>247</v>
      </c>
      <c r="C10" s="20">
        <v>4.5</v>
      </c>
      <c r="D10" s="21" t="s">
        <v>313</v>
      </c>
      <c r="E10" s="21" t="s">
        <v>155</v>
      </c>
      <c r="F10" s="21" t="s">
        <v>15</v>
      </c>
      <c r="G10" s="21" t="s">
        <v>347</v>
      </c>
      <c r="H10" s="21" t="s">
        <v>310</v>
      </c>
      <c r="I10" s="21">
        <v>20</v>
      </c>
      <c r="J10" s="21">
        <v>50</v>
      </c>
      <c r="K10" s="21"/>
      <c r="L10" s="21"/>
      <c r="M10" s="21"/>
    </row>
    <row r="11" spans="2:13" ht="51" customHeight="1" hidden="1">
      <c r="B11" s="19" t="s">
        <v>242</v>
      </c>
      <c r="C11" s="20">
        <v>3</v>
      </c>
      <c r="D11" s="21" t="s">
        <v>313</v>
      </c>
      <c r="E11" s="21" t="s">
        <v>155</v>
      </c>
      <c r="F11" s="21" t="s">
        <v>15</v>
      </c>
      <c r="G11" s="21" t="s">
        <v>347</v>
      </c>
      <c r="H11" s="21" t="s">
        <v>310</v>
      </c>
      <c r="I11" s="21">
        <v>20</v>
      </c>
      <c r="J11" s="21">
        <v>50</v>
      </c>
      <c r="K11" s="21"/>
      <c r="L11" s="21"/>
      <c r="M11" s="21"/>
    </row>
    <row r="12" spans="2:13" ht="51" customHeight="1" hidden="1">
      <c r="B12" s="19" t="s">
        <v>286</v>
      </c>
      <c r="C12" s="20">
        <v>4.5</v>
      </c>
      <c r="D12" s="21" t="s">
        <v>313</v>
      </c>
      <c r="E12" s="21" t="s">
        <v>155</v>
      </c>
      <c r="F12" s="21" t="s">
        <v>15</v>
      </c>
      <c r="G12" s="21" t="s">
        <v>347</v>
      </c>
      <c r="H12" s="21" t="s">
        <v>244</v>
      </c>
      <c r="I12" s="21">
        <v>20</v>
      </c>
      <c r="J12" s="21">
        <v>50</v>
      </c>
      <c r="K12" s="21"/>
      <c r="L12" s="21"/>
      <c r="M12" s="21"/>
    </row>
    <row r="13" spans="2:13" ht="51" customHeight="1" hidden="1">
      <c r="B13" s="19" t="s">
        <v>287</v>
      </c>
      <c r="C13" s="20">
        <v>3</v>
      </c>
      <c r="D13" s="21" t="s">
        <v>313</v>
      </c>
      <c r="E13" s="21" t="s">
        <v>155</v>
      </c>
      <c r="F13" s="21" t="s">
        <v>15</v>
      </c>
      <c r="G13" s="21" t="s">
        <v>347</v>
      </c>
      <c r="H13" s="21" t="s">
        <v>244</v>
      </c>
      <c r="I13" s="21">
        <v>20</v>
      </c>
      <c r="J13" s="21">
        <v>50</v>
      </c>
      <c r="K13" s="21"/>
      <c r="L13" s="21"/>
      <c r="M13" s="21"/>
    </row>
    <row r="14" spans="2:13" ht="51" customHeight="1" hidden="1">
      <c r="B14" s="19" t="s">
        <v>108</v>
      </c>
      <c r="C14" s="20">
        <v>4</v>
      </c>
      <c r="D14" s="21" t="s">
        <v>313</v>
      </c>
      <c r="E14" s="21" t="s">
        <v>155</v>
      </c>
      <c r="F14" s="21" t="s">
        <v>15</v>
      </c>
      <c r="G14" s="21" t="s">
        <v>347</v>
      </c>
      <c r="H14" s="21" t="s">
        <v>310</v>
      </c>
      <c r="I14" s="21">
        <v>20</v>
      </c>
      <c r="J14" s="21">
        <v>20</v>
      </c>
      <c r="K14" s="21"/>
      <c r="L14" s="21"/>
      <c r="M14" s="21"/>
    </row>
    <row r="15" spans="2:13" ht="51" customHeight="1" hidden="1">
      <c r="B15" s="75" t="s">
        <v>529</v>
      </c>
      <c r="C15" s="20">
        <v>3</v>
      </c>
      <c r="D15" s="21" t="s">
        <v>313</v>
      </c>
      <c r="E15" s="21" t="s">
        <v>155</v>
      </c>
      <c r="F15" s="21" t="s">
        <v>15</v>
      </c>
      <c r="G15" s="21" t="s">
        <v>347</v>
      </c>
      <c r="H15" s="21" t="s">
        <v>310</v>
      </c>
      <c r="I15" s="21">
        <v>20</v>
      </c>
      <c r="J15" s="21">
        <v>20</v>
      </c>
      <c r="K15" s="21"/>
      <c r="L15" s="21"/>
      <c r="M15" s="21"/>
    </row>
    <row r="16" spans="2:13" ht="51" customHeight="1" hidden="1">
      <c r="B16" s="19" t="s">
        <v>156</v>
      </c>
      <c r="C16" s="20">
        <v>4</v>
      </c>
      <c r="D16" s="21" t="s">
        <v>313</v>
      </c>
      <c r="E16" s="21" t="s">
        <v>155</v>
      </c>
      <c r="F16" s="21" t="s">
        <v>15</v>
      </c>
      <c r="G16" s="21" t="s">
        <v>347</v>
      </c>
      <c r="H16" s="21" t="s">
        <v>244</v>
      </c>
      <c r="I16" s="21">
        <v>20</v>
      </c>
      <c r="J16" s="21">
        <v>20</v>
      </c>
      <c r="K16" s="21"/>
      <c r="L16" s="21"/>
      <c r="M16" s="21"/>
    </row>
    <row r="17" spans="2:13" ht="51" customHeight="1" hidden="1">
      <c r="B17" s="19" t="s">
        <v>288</v>
      </c>
      <c r="C17" s="20">
        <v>3</v>
      </c>
      <c r="D17" s="21" t="s">
        <v>313</v>
      </c>
      <c r="E17" s="21" t="s">
        <v>155</v>
      </c>
      <c r="F17" s="21" t="s">
        <v>15</v>
      </c>
      <c r="G17" s="21" t="s">
        <v>347</v>
      </c>
      <c r="H17" s="21" t="s">
        <v>244</v>
      </c>
      <c r="I17" s="21">
        <v>20</v>
      </c>
      <c r="J17" s="21">
        <v>20</v>
      </c>
      <c r="K17" s="21"/>
      <c r="L17" s="21"/>
      <c r="M17" s="21"/>
    </row>
    <row r="18" spans="2:13" ht="51" customHeight="1" hidden="1">
      <c r="B18" s="19" t="s">
        <v>109</v>
      </c>
      <c r="C18" s="20">
        <v>5.2</v>
      </c>
      <c r="D18" s="21" t="s">
        <v>313</v>
      </c>
      <c r="E18" s="21" t="s">
        <v>155</v>
      </c>
      <c r="F18" s="21" t="s">
        <v>15</v>
      </c>
      <c r="G18" s="21" t="s">
        <v>347</v>
      </c>
      <c r="H18" s="21" t="s">
        <v>310</v>
      </c>
      <c r="I18" s="21">
        <v>20</v>
      </c>
      <c r="J18" s="21">
        <v>20</v>
      </c>
      <c r="K18" s="21"/>
      <c r="L18" s="21"/>
      <c r="M18" s="21"/>
    </row>
    <row r="19" spans="2:13" ht="51" customHeight="1" hidden="1">
      <c r="B19" s="19" t="s">
        <v>110</v>
      </c>
      <c r="C19" s="20">
        <v>3.9</v>
      </c>
      <c r="D19" s="21" t="s">
        <v>313</v>
      </c>
      <c r="E19" s="21" t="s">
        <v>155</v>
      </c>
      <c r="F19" s="21" t="s">
        <v>15</v>
      </c>
      <c r="G19" s="21" t="s">
        <v>347</v>
      </c>
      <c r="H19" s="21" t="s">
        <v>310</v>
      </c>
      <c r="I19" s="21">
        <v>20</v>
      </c>
      <c r="J19" s="21">
        <v>20</v>
      </c>
      <c r="K19" s="21"/>
      <c r="L19" s="21"/>
      <c r="M19" s="21"/>
    </row>
    <row r="20" spans="2:13" ht="51" customHeight="1" hidden="1">
      <c r="B20" s="19" t="s">
        <v>289</v>
      </c>
      <c r="C20" s="20">
        <v>5.2</v>
      </c>
      <c r="D20" s="21" t="s">
        <v>313</v>
      </c>
      <c r="E20" s="21" t="s">
        <v>155</v>
      </c>
      <c r="F20" s="21" t="s">
        <v>15</v>
      </c>
      <c r="G20" s="21" t="s">
        <v>347</v>
      </c>
      <c r="H20" s="21" t="s">
        <v>244</v>
      </c>
      <c r="I20" s="21">
        <v>20</v>
      </c>
      <c r="J20" s="21">
        <v>20</v>
      </c>
      <c r="K20" s="21"/>
      <c r="L20" s="21"/>
      <c r="M20" s="21"/>
    </row>
    <row r="21" spans="2:13" ht="51" customHeight="1" hidden="1">
      <c r="B21" s="19" t="s">
        <v>290</v>
      </c>
      <c r="C21" s="20">
        <v>3.9</v>
      </c>
      <c r="D21" s="21" t="s">
        <v>313</v>
      </c>
      <c r="E21" s="21" t="s">
        <v>155</v>
      </c>
      <c r="F21" s="21" t="s">
        <v>15</v>
      </c>
      <c r="G21" s="21" t="s">
        <v>347</v>
      </c>
      <c r="H21" s="21" t="s">
        <v>244</v>
      </c>
      <c r="I21" s="21">
        <v>20</v>
      </c>
      <c r="J21" s="21">
        <v>20</v>
      </c>
      <c r="K21" s="21"/>
      <c r="L21" s="21"/>
      <c r="M21" s="21"/>
    </row>
    <row r="22" spans="2:13" ht="51" customHeight="1" hidden="1">
      <c r="B22" s="19" t="s">
        <v>111</v>
      </c>
      <c r="C22" s="20">
        <v>3</v>
      </c>
      <c r="D22" s="21" t="s">
        <v>313</v>
      </c>
      <c r="E22" s="21" t="s">
        <v>155</v>
      </c>
      <c r="F22" s="21" t="s">
        <v>15</v>
      </c>
      <c r="G22" s="21" t="s">
        <v>347</v>
      </c>
      <c r="H22" s="21" t="s">
        <v>310</v>
      </c>
      <c r="I22" s="21"/>
      <c r="J22" s="21"/>
      <c r="K22" s="21"/>
      <c r="L22" s="21"/>
      <c r="M22" s="21"/>
    </row>
    <row r="23" spans="2:13" ht="51" customHeight="1" hidden="1">
      <c r="B23" s="19" t="s">
        <v>112</v>
      </c>
      <c r="C23" s="20">
        <v>2</v>
      </c>
      <c r="D23" s="21" t="s">
        <v>313</v>
      </c>
      <c r="E23" s="21" t="s">
        <v>155</v>
      </c>
      <c r="F23" s="21" t="s">
        <v>15</v>
      </c>
      <c r="G23" s="21" t="s">
        <v>347</v>
      </c>
      <c r="H23" s="21" t="s">
        <v>310</v>
      </c>
      <c r="I23" s="21"/>
      <c r="J23" s="21"/>
      <c r="K23" s="21"/>
      <c r="L23" s="21"/>
      <c r="M23" s="21"/>
    </row>
    <row r="24" spans="2:13" ht="51" customHeight="1" hidden="1">
      <c r="B24" s="19" t="s">
        <v>113</v>
      </c>
      <c r="C24" s="20">
        <v>1</v>
      </c>
      <c r="D24" s="21" t="s">
        <v>313</v>
      </c>
      <c r="E24" s="21" t="s">
        <v>155</v>
      </c>
      <c r="F24" s="21" t="s">
        <v>15</v>
      </c>
      <c r="G24" s="21" t="s">
        <v>347</v>
      </c>
      <c r="H24" s="21" t="s">
        <v>310</v>
      </c>
      <c r="I24" s="21"/>
      <c r="J24" s="21"/>
      <c r="K24" s="21"/>
      <c r="L24" s="21"/>
      <c r="M24" s="21"/>
    </row>
    <row r="25" spans="2:13" ht="51" customHeight="1" hidden="1">
      <c r="B25" s="20" t="s">
        <v>248</v>
      </c>
      <c r="C25" s="20">
        <v>3</v>
      </c>
      <c r="D25" s="21" t="s">
        <v>313</v>
      </c>
      <c r="E25" s="21" t="s">
        <v>155</v>
      </c>
      <c r="F25" s="21" t="s">
        <v>15</v>
      </c>
      <c r="G25" s="21" t="s">
        <v>347</v>
      </c>
      <c r="H25" s="21" t="s">
        <v>310</v>
      </c>
      <c r="I25" s="21"/>
      <c r="J25" s="21"/>
      <c r="K25" s="21"/>
      <c r="L25" s="21"/>
      <c r="M25" s="21"/>
    </row>
    <row r="26" spans="2:13" ht="51" customHeight="1" hidden="1">
      <c r="B26" s="20" t="s">
        <v>249</v>
      </c>
      <c r="C26" s="20">
        <v>2.5</v>
      </c>
      <c r="D26" s="21" t="s">
        <v>313</v>
      </c>
      <c r="E26" s="21" t="s">
        <v>155</v>
      </c>
      <c r="F26" s="21" t="s">
        <v>15</v>
      </c>
      <c r="G26" s="21" t="s">
        <v>347</v>
      </c>
      <c r="H26" s="21" t="s">
        <v>310</v>
      </c>
      <c r="I26" s="21"/>
      <c r="J26" s="21"/>
      <c r="K26" s="21"/>
      <c r="L26" s="21"/>
      <c r="M26" s="21"/>
    </row>
    <row r="27" spans="2:13" ht="51" customHeight="1" hidden="1">
      <c r="B27" s="20" t="s">
        <v>250</v>
      </c>
      <c r="C27" s="20">
        <v>4</v>
      </c>
      <c r="D27" s="21" t="s">
        <v>313</v>
      </c>
      <c r="E27" s="21" t="s">
        <v>155</v>
      </c>
      <c r="F27" s="21" t="s">
        <v>15</v>
      </c>
      <c r="G27" s="21" t="s">
        <v>347</v>
      </c>
      <c r="H27" s="21" t="s">
        <v>310</v>
      </c>
      <c r="I27" s="21"/>
      <c r="J27" s="21"/>
      <c r="K27" s="21"/>
      <c r="L27" s="21"/>
      <c r="M27" s="21"/>
    </row>
    <row r="28" spans="2:13" ht="51" customHeight="1" hidden="1">
      <c r="B28" s="20" t="s">
        <v>251</v>
      </c>
      <c r="C28" s="20">
        <v>3.5</v>
      </c>
      <c r="D28" s="21" t="s">
        <v>313</v>
      </c>
      <c r="E28" s="21" t="s">
        <v>155</v>
      </c>
      <c r="F28" s="21" t="s">
        <v>15</v>
      </c>
      <c r="G28" s="21" t="s">
        <v>347</v>
      </c>
      <c r="H28" s="21" t="s">
        <v>310</v>
      </c>
      <c r="I28" s="21"/>
      <c r="J28" s="21"/>
      <c r="K28" s="21"/>
      <c r="L28" s="21"/>
      <c r="M28" s="21"/>
    </row>
    <row r="29" spans="2:13" ht="51" customHeight="1" hidden="1">
      <c r="B29" s="20" t="s">
        <v>253</v>
      </c>
      <c r="C29" s="20">
        <v>2</v>
      </c>
      <c r="D29" s="21" t="s">
        <v>313</v>
      </c>
      <c r="E29" s="21" t="s">
        <v>155</v>
      </c>
      <c r="F29" s="21" t="s">
        <v>15</v>
      </c>
      <c r="G29" s="21" t="s">
        <v>347</v>
      </c>
      <c r="H29" s="21" t="s">
        <v>310</v>
      </c>
      <c r="I29" s="21"/>
      <c r="J29" s="21"/>
      <c r="K29" s="21"/>
      <c r="L29" s="21"/>
      <c r="M29" s="21"/>
    </row>
    <row r="30" spans="2:13" ht="51" customHeight="1" hidden="1">
      <c r="B30" s="20" t="s">
        <v>254</v>
      </c>
      <c r="C30" s="20">
        <v>3</v>
      </c>
      <c r="D30" s="21" t="s">
        <v>313</v>
      </c>
      <c r="E30" s="21" t="s">
        <v>155</v>
      </c>
      <c r="F30" s="21" t="s">
        <v>15</v>
      </c>
      <c r="G30" s="21" t="s">
        <v>347</v>
      </c>
      <c r="H30" s="21" t="s">
        <v>310</v>
      </c>
      <c r="I30" s="21"/>
      <c r="J30" s="21"/>
      <c r="K30" s="21"/>
      <c r="L30" s="21"/>
      <c r="M30" s="21"/>
    </row>
    <row r="31" spans="2:13" ht="51" customHeight="1" hidden="1">
      <c r="B31" s="20" t="s">
        <v>255</v>
      </c>
      <c r="C31" s="20">
        <v>4</v>
      </c>
      <c r="D31" s="21" t="s">
        <v>313</v>
      </c>
      <c r="E31" s="21" t="s">
        <v>155</v>
      </c>
      <c r="F31" s="21" t="s">
        <v>15</v>
      </c>
      <c r="G31" s="21" t="s">
        <v>347</v>
      </c>
      <c r="H31" s="21" t="s">
        <v>310</v>
      </c>
      <c r="I31" s="21"/>
      <c r="J31" s="21"/>
      <c r="K31" s="21"/>
      <c r="L31" s="21"/>
      <c r="M31" s="21"/>
    </row>
    <row r="32" spans="2:13" ht="51" customHeight="1" hidden="1">
      <c r="B32" s="20" t="s">
        <v>256</v>
      </c>
      <c r="C32" s="20">
        <v>3</v>
      </c>
      <c r="D32" s="21" t="s">
        <v>313</v>
      </c>
      <c r="E32" s="21" t="s">
        <v>155</v>
      </c>
      <c r="F32" s="21" t="s">
        <v>15</v>
      </c>
      <c r="G32" s="21" t="s">
        <v>347</v>
      </c>
      <c r="H32" s="21" t="s">
        <v>310</v>
      </c>
      <c r="I32" s="21"/>
      <c r="J32" s="21"/>
      <c r="K32" s="21"/>
      <c r="L32" s="21"/>
      <c r="M32" s="21"/>
    </row>
    <row r="33" spans="2:13" ht="51" customHeight="1" hidden="1">
      <c r="B33" s="20" t="s">
        <v>257</v>
      </c>
      <c r="C33" s="20">
        <v>5</v>
      </c>
      <c r="D33" s="21" t="s">
        <v>313</v>
      </c>
      <c r="E33" s="21" t="s">
        <v>155</v>
      </c>
      <c r="F33" s="21" t="s">
        <v>15</v>
      </c>
      <c r="G33" s="21" t="s">
        <v>347</v>
      </c>
      <c r="H33" s="21" t="s">
        <v>310</v>
      </c>
      <c r="I33" s="21"/>
      <c r="J33" s="21"/>
      <c r="K33" s="21"/>
      <c r="L33" s="21"/>
      <c r="M33" s="21"/>
    </row>
    <row r="34" spans="2:13" ht="51" customHeight="1" hidden="1">
      <c r="B34" s="20" t="s">
        <v>258</v>
      </c>
      <c r="C34" s="20">
        <v>4</v>
      </c>
      <c r="D34" s="21" t="s">
        <v>313</v>
      </c>
      <c r="E34" s="21" t="s">
        <v>155</v>
      </c>
      <c r="F34" s="21" t="s">
        <v>15</v>
      </c>
      <c r="G34" s="21" t="s">
        <v>347</v>
      </c>
      <c r="H34" s="21" t="s">
        <v>310</v>
      </c>
      <c r="I34" s="21"/>
      <c r="J34" s="21"/>
      <c r="K34" s="21"/>
      <c r="L34" s="21"/>
      <c r="M34" s="21"/>
    </row>
    <row r="35" spans="2:13" ht="51" customHeight="1" hidden="1">
      <c r="B35" s="20" t="s">
        <v>259</v>
      </c>
      <c r="C35" s="20">
        <v>4</v>
      </c>
      <c r="D35" s="21" t="s">
        <v>313</v>
      </c>
      <c r="E35" s="21" t="s">
        <v>155</v>
      </c>
      <c r="F35" s="21" t="s">
        <v>15</v>
      </c>
      <c r="G35" s="21" t="s">
        <v>347</v>
      </c>
      <c r="H35" s="21" t="s">
        <v>310</v>
      </c>
      <c r="I35" s="21"/>
      <c r="J35" s="21"/>
      <c r="K35" s="21"/>
      <c r="L35" s="21"/>
      <c r="M35" s="21"/>
    </row>
    <row r="36" spans="2:13" ht="51" customHeight="1" hidden="1">
      <c r="B36" s="20" t="s">
        <v>260</v>
      </c>
      <c r="C36" s="20">
        <v>5</v>
      </c>
      <c r="D36" s="21" t="s">
        <v>313</v>
      </c>
      <c r="E36" s="21" t="s">
        <v>155</v>
      </c>
      <c r="F36" s="21" t="s">
        <v>15</v>
      </c>
      <c r="G36" s="21" t="s">
        <v>347</v>
      </c>
      <c r="H36" s="21" t="s">
        <v>310</v>
      </c>
      <c r="I36" s="21"/>
      <c r="J36" s="21"/>
      <c r="K36" s="21"/>
      <c r="L36" s="21"/>
      <c r="M36" s="21"/>
    </row>
    <row r="37" spans="2:13" ht="51" customHeight="1" hidden="1">
      <c r="B37" s="20" t="s">
        <v>261</v>
      </c>
      <c r="C37" s="20">
        <v>4</v>
      </c>
      <c r="D37" s="21" t="s">
        <v>313</v>
      </c>
      <c r="E37" s="21" t="s">
        <v>155</v>
      </c>
      <c r="F37" s="21" t="s">
        <v>15</v>
      </c>
      <c r="G37" s="21" t="s">
        <v>347</v>
      </c>
      <c r="H37" s="21" t="s">
        <v>310</v>
      </c>
      <c r="I37" s="21"/>
      <c r="J37" s="21"/>
      <c r="K37" s="21"/>
      <c r="L37" s="21"/>
      <c r="M37" s="21"/>
    </row>
    <row r="38" spans="2:13" ht="51" customHeight="1" hidden="1">
      <c r="B38" s="20" t="s">
        <v>262</v>
      </c>
      <c r="C38" s="20">
        <v>3</v>
      </c>
      <c r="D38" s="21" t="s">
        <v>313</v>
      </c>
      <c r="E38" s="21" t="s">
        <v>155</v>
      </c>
      <c r="F38" s="21" t="s">
        <v>15</v>
      </c>
      <c r="G38" s="21" t="s">
        <v>347</v>
      </c>
      <c r="H38" s="21" t="s">
        <v>310</v>
      </c>
      <c r="I38" s="21"/>
      <c r="J38" s="21"/>
      <c r="K38" s="21"/>
      <c r="L38" s="21"/>
      <c r="M38" s="21"/>
    </row>
    <row r="39" spans="2:13" ht="51" customHeight="1" hidden="1">
      <c r="B39" s="20" t="s">
        <v>263</v>
      </c>
      <c r="C39" s="20">
        <v>5</v>
      </c>
      <c r="D39" s="21" t="s">
        <v>313</v>
      </c>
      <c r="E39" s="21" t="s">
        <v>155</v>
      </c>
      <c r="F39" s="21" t="s">
        <v>15</v>
      </c>
      <c r="G39" s="21" t="s">
        <v>347</v>
      </c>
      <c r="H39" s="21" t="s">
        <v>310</v>
      </c>
      <c r="I39" s="21"/>
      <c r="J39" s="21"/>
      <c r="K39" s="21"/>
      <c r="L39" s="21"/>
      <c r="M39" s="21"/>
    </row>
    <row r="40" spans="2:13" ht="51" customHeight="1" hidden="1">
      <c r="B40" s="20" t="s">
        <v>264</v>
      </c>
      <c r="C40" s="20">
        <v>4</v>
      </c>
      <c r="D40" s="21" t="s">
        <v>313</v>
      </c>
      <c r="E40" s="21" t="s">
        <v>155</v>
      </c>
      <c r="F40" s="21" t="s">
        <v>15</v>
      </c>
      <c r="G40" s="21" t="s">
        <v>347</v>
      </c>
      <c r="H40" s="21" t="s">
        <v>310</v>
      </c>
      <c r="I40" s="21"/>
      <c r="J40" s="21"/>
      <c r="K40" s="21"/>
      <c r="L40" s="21"/>
      <c r="M40" s="21"/>
    </row>
    <row r="41" spans="2:13" ht="51" customHeight="1" hidden="1">
      <c r="B41" s="20" t="s">
        <v>265</v>
      </c>
      <c r="C41" s="20">
        <v>4</v>
      </c>
      <c r="D41" s="21" t="s">
        <v>313</v>
      </c>
      <c r="E41" s="21" t="s">
        <v>155</v>
      </c>
      <c r="F41" s="21" t="s">
        <v>15</v>
      </c>
      <c r="G41" s="21" t="s">
        <v>347</v>
      </c>
      <c r="H41" s="21" t="s">
        <v>310</v>
      </c>
      <c r="I41" s="21"/>
      <c r="J41" s="21"/>
      <c r="K41" s="21"/>
      <c r="L41" s="21"/>
      <c r="M41" s="21"/>
    </row>
    <row r="42" spans="2:13" ht="51" customHeight="1" hidden="1">
      <c r="B42" s="20" t="s">
        <v>266</v>
      </c>
      <c r="C42" s="20">
        <v>5</v>
      </c>
      <c r="D42" s="21" t="s">
        <v>313</v>
      </c>
      <c r="E42" s="21" t="s">
        <v>155</v>
      </c>
      <c r="F42" s="21" t="s">
        <v>15</v>
      </c>
      <c r="G42" s="21" t="s">
        <v>347</v>
      </c>
      <c r="H42" s="21" t="s">
        <v>310</v>
      </c>
      <c r="I42" s="21"/>
      <c r="J42" s="21"/>
      <c r="K42" s="21"/>
      <c r="L42" s="21"/>
      <c r="M42" s="21"/>
    </row>
    <row r="43" spans="2:13" ht="51" customHeight="1" hidden="1">
      <c r="B43" s="20" t="s">
        <v>267</v>
      </c>
      <c r="C43" s="20">
        <v>3</v>
      </c>
      <c r="D43" s="21" t="s">
        <v>313</v>
      </c>
      <c r="E43" s="21" t="s">
        <v>155</v>
      </c>
      <c r="F43" s="21" t="s">
        <v>15</v>
      </c>
      <c r="G43" s="21" t="s">
        <v>347</v>
      </c>
      <c r="H43" s="21" t="s">
        <v>310</v>
      </c>
      <c r="I43" s="21"/>
      <c r="J43" s="21"/>
      <c r="K43" s="21"/>
      <c r="L43" s="21"/>
      <c r="M43" s="21"/>
    </row>
    <row r="44" spans="2:13" ht="51" customHeight="1" hidden="1">
      <c r="B44" s="20" t="s">
        <v>268</v>
      </c>
      <c r="C44" s="20">
        <v>5</v>
      </c>
      <c r="D44" s="21" t="s">
        <v>313</v>
      </c>
      <c r="E44" s="21" t="s">
        <v>155</v>
      </c>
      <c r="F44" s="21" t="s">
        <v>15</v>
      </c>
      <c r="G44" s="21" t="s">
        <v>347</v>
      </c>
      <c r="H44" s="21" t="s">
        <v>310</v>
      </c>
      <c r="I44" s="21"/>
      <c r="J44" s="21"/>
      <c r="K44" s="21"/>
      <c r="L44" s="21"/>
      <c r="M44" s="21"/>
    </row>
    <row r="45" spans="2:13" ht="51" customHeight="1" hidden="1">
      <c r="B45" s="20" t="s">
        <v>269</v>
      </c>
      <c r="C45" s="20">
        <v>7</v>
      </c>
      <c r="D45" s="21" t="s">
        <v>313</v>
      </c>
      <c r="E45" s="21" t="s">
        <v>155</v>
      </c>
      <c r="F45" s="21" t="s">
        <v>15</v>
      </c>
      <c r="G45" s="21" t="s">
        <v>347</v>
      </c>
      <c r="H45" s="21" t="s">
        <v>310</v>
      </c>
      <c r="I45" s="21"/>
      <c r="J45" s="21"/>
      <c r="K45" s="21"/>
      <c r="L45" s="21"/>
      <c r="M45" s="21"/>
    </row>
    <row r="46" spans="2:13" ht="51" customHeight="1" hidden="1">
      <c r="B46" s="20" t="s">
        <v>270</v>
      </c>
      <c r="C46" s="20">
        <v>9</v>
      </c>
      <c r="D46" s="21" t="s">
        <v>313</v>
      </c>
      <c r="E46" s="21" t="s">
        <v>155</v>
      </c>
      <c r="F46" s="21" t="s">
        <v>15</v>
      </c>
      <c r="G46" s="21" t="s">
        <v>347</v>
      </c>
      <c r="H46" s="21" t="s">
        <v>310</v>
      </c>
      <c r="I46" s="21"/>
      <c r="J46" s="21"/>
      <c r="K46" s="21"/>
      <c r="L46" s="21"/>
      <c r="M46" s="21"/>
    </row>
    <row r="47" spans="2:13" ht="51" customHeight="1" hidden="1">
      <c r="B47" s="20" t="s">
        <v>271</v>
      </c>
      <c r="C47" s="20">
        <v>2</v>
      </c>
      <c r="D47" s="21" t="s">
        <v>313</v>
      </c>
      <c r="E47" s="21" t="s">
        <v>155</v>
      </c>
      <c r="F47" s="21" t="s">
        <v>15</v>
      </c>
      <c r="G47" s="21" t="s">
        <v>347</v>
      </c>
      <c r="H47" s="21" t="s">
        <v>310</v>
      </c>
      <c r="I47" s="21"/>
      <c r="J47" s="21"/>
      <c r="K47" s="21"/>
      <c r="L47" s="21"/>
      <c r="M47" s="21"/>
    </row>
    <row r="48" spans="2:13" ht="51" customHeight="1" hidden="1">
      <c r="B48" s="20" t="s">
        <v>272</v>
      </c>
      <c r="C48" s="20">
        <v>4</v>
      </c>
      <c r="D48" s="21" t="s">
        <v>313</v>
      </c>
      <c r="E48" s="21" t="s">
        <v>155</v>
      </c>
      <c r="F48" s="21" t="s">
        <v>15</v>
      </c>
      <c r="G48" s="21" t="s">
        <v>347</v>
      </c>
      <c r="H48" s="21" t="s">
        <v>310</v>
      </c>
      <c r="I48" s="21"/>
      <c r="J48" s="21"/>
      <c r="K48" s="21"/>
      <c r="L48" s="21"/>
      <c r="M48" s="21"/>
    </row>
    <row r="49" spans="2:13" ht="51" customHeight="1" hidden="1">
      <c r="B49" s="20" t="s">
        <v>273</v>
      </c>
      <c r="C49" s="20">
        <v>6</v>
      </c>
      <c r="D49" s="21" t="s">
        <v>313</v>
      </c>
      <c r="E49" s="21" t="s">
        <v>155</v>
      </c>
      <c r="F49" s="21" t="s">
        <v>15</v>
      </c>
      <c r="G49" s="21" t="s">
        <v>347</v>
      </c>
      <c r="H49" s="21" t="s">
        <v>310</v>
      </c>
      <c r="I49" s="21"/>
      <c r="J49" s="21"/>
      <c r="K49" s="21"/>
      <c r="L49" s="21"/>
      <c r="M49" s="21"/>
    </row>
    <row r="50" spans="2:13" ht="51" customHeight="1" hidden="1">
      <c r="B50" s="20" t="s">
        <v>274</v>
      </c>
      <c r="C50" s="20">
        <v>8</v>
      </c>
      <c r="D50" s="21" t="s">
        <v>313</v>
      </c>
      <c r="E50" s="21" t="s">
        <v>155</v>
      </c>
      <c r="F50" s="21" t="s">
        <v>15</v>
      </c>
      <c r="G50" s="21" t="s">
        <v>347</v>
      </c>
      <c r="H50" s="21" t="s">
        <v>310</v>
      </c>
      <c r="I50" s="21"/>
      <c r="J50" s="21"/>
      <c r="K50" s="21"/>
      <c r="L50" s="21"/>
      <c r="M50" s="21"/>
    </row>
    <row r="51" spans="2:13" ht="51" customHeight="1" hidden="1">
      <c r="B51" s="20" t="s">
        <v>275</v>
      </c>
      <c r="C51" s="20">
        <v>4</v>
      </c>
      <c r="D51" s="21" t="s">
        <v>313</v>
      </c>
      <c r="E51" s="21" t="s">
        <v>155</v>
      </c>
      <c r="F51" s="21" t="s">
        <v>15</v>
      </c>
      <c r="G51" s="21" t="s">
        <v>347</v>
      </c>
      <c r="H51" s="21" t="s">
        <v>310</v>
      </c>
      <c r="I51" s="21"/>
      <c r="J51" s="21"/>
      <c r="K51" s="21"/>
      <c r="L51" s="21"/>
      <c r="M51" s="21"/>
    </row>
    <row r="52" spans="2:13" ht="25.5" customHeight="1" hidden="1">
      <c r="B52" s="20" t="s">
        <v>283</v>
      </c>
      <c r="C52" s="20">
        <v>2</v>
      </c>
      <c r="D52" s="21" t="s">
        <v>348</v>
      </c>
      <c r="E52" s="21" t="s">
        <v>276</v>
      </c>
      <c r="F52" s="21" t="s">
        <v>15</v>
      </c>
      <c r="G52" s="21" t="s">
        <v>347</v>
      </c>
      <c r="H52" s="21" t="s">
        <v>310</v>
      </c>
      <c r="I52" s="21"/>
      <c r="J52" s="21"/>
      <c r="K52" s="21"/>
      <c r="L52" s="21"/>
      <c r="M52" s="21"/>
    </row>
    <row r="53" spans="2:13" ht="57" hidden="1">
      <c r="B53" s="20" t="s">
        <v>119</v>
      </c>
      <c r="C53" s="20">
        <v>1</v>
      </c>
      <c r="D53" s="21" t="s">
        <v>314</v>
      </c>
      <c r="E53" s="21" t="s">
        <v>150</v>
      </c>
      <c r="F53" s="21" t="s">
        <v>15</v>
      </c>
      <c r="G53" s="21" t="s">
        <v>347</v>
      </c>
      <c r="H53" s="21" t="s">
        <v>310</v>
      </c>
      <c r="I53" s="21"/>
      <c r="J53" s="21"/>
      <c r="K53" s="21"/>
      <c r="L53" s="21"/>
      <c r="M53" s="21"/>
    </row>
    <row r="54" spans="2:13" ht="57" hidden="1">
      <c r="B54" s="20" t="s">
        <v>279</v>
      </c>
      <c r="C54" s="20">
        <v>1</v>
      </c>
      <c r="D54" s="21" t="s">
        <v>252</v>
      </c>
      <c r="E54" s="21" t="s">
        <v>276</v>
      </c>
      <c r="F54" s="21" t="s">
        <v>15</v>
      </c>
      <c r="G54" s="21" t="s">
        <v>347</v>
      </c>
      <c r="H54" s="21" t="s">
        <v>310</v>
      </c>
      <c r="I54" s="21"/>
      <c r="J54" s="21"/>
      <c r="K54" s="21"/>
      <c r="L54" s="21"/>
      <c r="M54" s="21"/>
    </row>
    <row r="55" ht="14.25" hidden="1"/>
    <row r="56" spans="1:21" ht="25.5" customHeight="1">
      <c r="A56" s="319" t="s">
        <v>523</v>
      </c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</row>
    <row r="57" spans="1:21" ht="12.75" customHeight="1">
      <c r="A57" s="22" t="s">
        <v>23</v>
      </c>
      <c r="B57" s="310" t="str">
        <f>ข้อมูลผู้กรอกและสรุปภาระงาน!B11</f>
        <v>ชื่ออาจารย์</v>
      </c>
      <c r="C57" s="310"/>
      <c r="D57" s="310"/>
      <c r="E57" s="325" t="s">
        <v>362</v>
      </c>
      <c r="F57" s="326"/>
      <c r="G57" s="327"/>
      <c r="H57" s="23">
        <f>SUM(Q66:Q769)+SUM(R66:R769)/26</f>
        <v>0</v>
      </c>
      <c r="J57" s="24"/>
      <c r="K57" s="24"/>
      <c r="L57" s="24"/>
      <c r="M57" s="24"/>
      <c r="N57" s="24"/>
      <c r="O57" s="24"/>
      <c r="P57" s="24"/>
      <c r="Q57" s="25"/>
      <c r="R57" s="26"/>
      <c r="S57" s="26"/>
      <c r="T57" s="27"/>
      <c r="U57" s="28"/>
    </row>
    <row r="58" spans="1:21" ht="12.75" customHeight="1">
      <c r="A58" s="29" t="s">
        <v>22</v>
      </c>
      <c r="B58" s="310" t="str">
        <f>ข้อมูลผู้กรอกและสรุปภาระงาน!B12</f>
        <v>ชื่อภาควิชา</v>
      </c>
      <c r="C58" s="310"/>
      <c r="D58" s="311"/>
      <c r="E58" s="322" t="s">
        <v>363</v>
      </c>
      <c r="F58" s="323"/>
      <c r="G58" s="323"/>
      <c r="H58" s="324"/>
      <c r="I58" s="30"/>
      <c r="J58" s="30"/>
      <c r="K58" s="30"/>
      <c r="L58" s="24"/>
      <c r="M58" s="24"/>
      <c r="N58" s="24"/>
      <c r="O58" s="24"/>
      <c r="P58" s="24"/>
      <c r="Q58" s="31"/>
      <c r="R58" s="31"/>
      <c r="S58" s="31"/>
      <c r="T58" s="27"/>
      <c r="U58" s="28"/>
    </row>
    <row r="59" spans="1:21" ht="12.75" customHeight="1">
      <c r="A59" s="29" t="s">
        <v>153</v>
      </c>
      <c r="B59" s="309" t="str">
        <f>ข้อมูลผู้กรอกและสรุปภาระงาน!B16</f>
        <v>รอบที่ 2 เดือนกุมภาพันธ์ 2563 - กรกฎาคม 2563</v>
      </c>
      <c r="C59" s="310"/>
      <c r="D59" s="311"/>
      <c r="E59" s="32" t="s">
        <v>349</v>
      </c>
      <c r="F59" s="32">
        <f>SUMIF(C66:C787,E59,V66:V787)</f>
        <v>0</v>
      </c>
      <c r="G59" s="32" t="s">
        <v>350</v>
      </c>
      <c r="H59" s="32">
        <f>SUMIF(C67:C781,G59,V66:V778)</f>
        <v>0</v>
      </c>
      <c r="I59" s="30"/>
      <c r="J59" s="30"/>
      <c r="K59" s="31"/>
      <c r="L59" s="31"/>
      <c r="M59" s="31"/>
      <c r="N59" s="31"/>
      <c r="O59" s="31"/>
      <c r="P59" s="31"/>
      <c r="Q59" s="33"/>
      <c r="R59" s="33"/>
      <c r="S59" s="33"/>
      <c r="T59" s="33"/>
      <c r="U59" s="28"/>
    </row>
    <row r="60" spans="1:21" ht="12.75" customHeight="1">
      <c r="A60" s="34"/>
      <c r="B60" s="35"/>
      <c r="C60" s="35"/>
      <c r="D60" s="35"/>
      <c r="E60" s="325" t="s">
        <v>361</v>
      </c>
      <c r="F60" s="326"/>
      <c r="G60" s="326"/>
      <c r="H60" s="327"/>
      <c r="I60" s="30"/>
      <c r="J60" s="30"/>
      <c r="K60" s="31"/>
      <c r="L60" s="31"/>
      <c r="M60" s="31"/>
      <c r="N60" s="31"/>
      <c r="O60" s="31"/>
      <c r="P60" s="31"/>
      <c r="Q60" s="33"/>
      <c r="R60" s="33"/>
      <c r="S60" s="33"/>
      <c r="T60" s="33"/>
      <c r="U60" s="28"/>
    </row>
    <row r="61" spans="1:21" ht="12.75" customHeight="1">
      <c r="A61" s="34"/>
      <c r="B61" s="35"/>
      <c r="C61" s="35"/>
      <c r="D61" s="35"/>
      <c r="E61" s="32" t="s">
        <v>349</v>
      </c>
      <c r="F61" s="32">
        <f>SUMIF(C66:C781,E59,Q66:Q781)</f>
        <v>0</v>
      </c>
      <c r="G61" s="32" t="s">
        <v>350</v>
      </c>
      <c r="H61" s="32">
        <f>SUMIF(C66:C781,G61,Q66:Q781)</f>
        <v>0</v>
      </c>
      <c r="I61" s="30"/>
      <c r="J61" s="30"/>
      <c r="K61" s="31"/>
      <c r="L61" s="31"/>
      <c r="M61" s="31"/>
      <c r="N61" s="31"/>
      <c r="O61" s="31"/>
      <c r="P61" s="31"/>
      <c r="Q61" s="33"/>
      <c r="R61" s="33"/>
      <c r="S61" s="33"/>
      <c r="T61" s="33"/>
      <c r="U61" s="28"/>
    </row>
    <row r="62" spans="1:21" ht="12.75" customHeight="1">
      <c r="A62" s="34"/>
      <c r="B62" s="35"/>
      <c r="C62" s="35"/>
      <c r="D62" s="35"/>
      <c r="E62" s="30"/>
      <c r="F62" s="30"/>
      <c r="G62" s="30"/>
      <c r="H62" s="30"/>
      <c r="I62" s="30"/>
      <c r="J62" s="30"/>
      <c r="K62" s="31"/>
      <c r="L62" s="31"/>
      <c r="M62" s="31"/>
      <c r="N62" s="31"/>
      <c r="O62" s="31"/>
      <c r="P62" s="31"/>
      <c r="Q62" s="33"/>
      <c r="R62" s="33"/>
      <c r="S62" s="33"/>
      <c r="T62" s="33"/>
      <c r="U62" s="28"/>
    </row>
    <row r="64" spans="1:21" s="39" customFormat="1" ht="12.75" customHeight="1">
      <c r="A64" s="320" t="s">
        <v>1</v>
      </c>
      <c r="B64" s="320" t="s">
        <v>337</v>
      </c>
      <c r="C64" s="328" t="s">
        <v>311</v>
      </c>
      <c r="D64" s="328"/>
      <c r="E64" s="328"/>
      <c r="F64" s="328"/>
      <c r="G64" s="328"/>
      <c r="H64" s="328"/>
      <c r="I64" s="328"/>
      <c r="J64" s="328"/>
      <c r="K64" s="328"/>
      <c r="L64" s="328"/>
      <c r="M64" s="37"/>
      <c r="N64" s="37"/>
      <c r="O64" s="37"/>
      <c r="P64" s="37"/>
      <c r="Q64" s="315" t="s">
        <v>7</v>
      </c>
      <c r="R64" s="316"/>
      <c r="S64" s="312" t="s">
        <v>319</v>
      </c>
      <c r="T64" s="313"/>
      <c r="U64" s="314"/>
    </row>
    <row r="65" spans="1:21" s="39" customFormat="1" ht="30">
      <c r="A65" s="321"/>
      <c r="B65" s="321"/>
      <c r="C65" s="40" t="s">
        <v>351</v>
      </c>
      <c r="D65" s="41" t="s">
        <v>7</v>
      </c>
      <c r="E65" s="317" t="s">
        <v>330</v>
      </c>
      <c r="F65" s="318"/>
      <c r="G65" s="317" t="s">
        <v>307</v>
      </c>
      <c r="H65" s="318"/>
      <c r="I65" s="317" t="s">
        <v>312</v>
      </c>
      <c r="J65" s="318"/>
      <c r="K65" s="317" t="s">
        <v>244</v>
      </c>
      <c r="L65" s="318"/>
      <c r="M65" s="38"/>
      <c r="N65" s="38"/>
      <c r="O65" s="38"/>
      <c r="P65" s="38" t="s">
        <v>2</v>
      </c>
      <c r="Q65" s="42" t="s">
        <v>16</v>
      </c>
      <c r="R65" s="43" t="s">
        <v>17</v>
      </c>
      <c r="S65" s="312" t="s">
        <v>5</v>
      </c>
      <c r="T65" s="314"/>
      <c r="U65" s="42" t="s">
        <v>3</v>
      </c>
    </row>
    <row r="66" spans="1:22" ht="20.25">
      <c r="A66" s="44"/>
      <c r="B66" s="45" t="s">
        <v>238</v>
      </c>
      <c r="C66" s="45" t="s">
        <v>349</v>
      </c>
      <c r="D66" s="46">
        <f>VLOOKUP(B66,$B$2:$P$55,2,FALSE)</f>
        <v>3</v>
      </c>
      <c r="E66" s="47" t="str">
        <f>VLOOKUP(B66,$B$2:$M$54,3,FALSE)</f>
        <v>ระบุจำนวนหน่วยกิต</v>
      </c>
      <c r="F66" s="48"/>
      <c r="G66" s="47" t="s">
        <v>331</v>
      </c>
      <c r="H66" s="49">
        <v>1</v>
      </c>
      <c r="I66" s="50" t="str">
        <f>VLOOKUP(B66,$B$2:$P$55,6,FALSE)</f>
        <v>ระบุการสอนในเวลา</v>
      </c>
      <c r="J66" s="51" t="s">
        <v>245</v>
      </c>
      <c r="K66" s="50" t="s">
        <v>244</v>
      </c>
      <c r="L66" s="70">
        <v>0</v>
      </c>
      <c r="M66" s="50">
        <f>VLOOKUP(B66,$B$2:$P$55,8,FALSE)</f>
        <v>20</v>
      </c>
      <c r="N66" s="50">
        <f>VLOOKUP(B66,$B$2:$P$55,9,FALSE)</f>
        <v>50</v>
      </c>
      <c r="O66" s="52">
        <f>IF(AND(I66="ระบุการสอนในเวลาหรือนอกเวลา",N66&lt;&gt;"",L66&gt;N66,K66="ระบุจำนวนนิสิต"),D66+(L66-N66)/N66,D66)</f>
        <v>3</v>
      </c>
      <c r="P66" s="53" t="str">
        <f>VLOOKUP(B66,$B$2:$P$55,5,FALSE)</f>
        <v>ต่อสัปดาห์</v>
      </c>
      <c r="Q66" s="54">
        <f>IF(AND(P66="ต่อสัปดาห์",J66="นอกเวลาราชการ",I66&lt;&gt;0),(O66+1)*F66/H66,IF(P66="ต่อสัปดาห์",F66*O66/H66,""))</f>
        <v>0</v>
      </c>
      <c r="R66" s="54">
        <f>IF(P66="ภาระงาน",F66*D66/H66,"")</f>
      </c>
      <c r="S66" s="53" t="str">
        <f>VLOOKUP(B66,$B$2:$P$55,4,FALSE)</f>
        <v>ระบุรายวิชา</v>
      </c>
      <c r="T66" s="69"/>
      <c r="U66" s="1"/>
      <c r="V66" s="18">
        <f>F66/H66</f>
        <v>0</v>
      </c>
    </row>
  </sheetData>
  <sheetProtection/>
  <protectedRanges>
    <protectedRange sqref="A67:T120 U66:U117" name="ช่วง1"/>
    <protectedRange sqref="A66:K66 M66:S66" name="ช่วง1_3"/>
    <protectedRange sqref="T66" name="ช่วง1_1_1_1"/>
    <protectedRange sqref="L66" name="ช่วง1_3_1"/>
    <protectedRange password="CF57" sqref="A1:U63" name="Range5"/>
  </protectedRanges>
  <mergeCells count="17">
    <mergeCell ref="A56:U56"/>
    <mergeCell ref="B57:D57"/>
    <mergeCell ref="B58:D58"/>
    <mergeCell ref="A64:A65"/>
    <mergeCell ref="B64:B65"/>
    <mergeCell ref="E65:F65"/>
    <mergeCell ref="E58:H58"/>
    <mergeCell ref="E60:H60"/>
    <mergeCell ref="E57:G57"/>
    <mergeCell ref="C64:L64"/>
    <mergeCell ref="B59:D59"/>
    <mergeCell ref="S64:U64"/>
    <mergeCell ref="Q64:R64"/>
    <mergeCell ref="S65:T65"/>
    <mergeCell ref="G65:H65"/>
    <mergeCell ref="I65:J65"/>
    <mergeCell ref="K65:L65"/>
  </mergeCells>
  <conditionalFormatting sqref="K66">
    <cfRule type="cellIs" priority="17" dxfId="0" operator="equal" stopIfTrue="1">
      <formula>"ระบุจำนวนนิสิต"</formula>
    </cfRule>
  </conditionalFormatting>
  <dataValidations count="3">
    <dataValidation type="list" allowBlank="1" showInputMessage="1" showErrorMessage="1" sqref="B66">
      <formula1>INDIRECT(ภาระงานการสอน)</formula1>
    </dataValidation>
    <dataValidation type="list" allowBlank="1" showInputMessage="1" showErrorMessage="1" sqref="J66">
      <formula1>INDIRECT(ในเวลาราชการ)</formula1>
    </dataValidation>
    <dataValidation type="list" allowBlank="1" showInputMessage="1" showErrorMessage="1" sqref="C66">
      <formula1>INDIRECT(ระดับการศึกษา1)</formula1>
    </dataValidation>
  </dataValidations>
  <printOptions/>
  <pageMargins left="0.1968503937007874" right="0.1968503937007874" top="0.4724409448818898" bottom="0.31496062992125984" header="0.15748031496062992" footer="0.15748031496062992"/>
  <pageSetup fitToHeight="5" fitToWidth="1" horizontalDpi="300" verticalDpi="300" orientation="landscape" paperSize="9" scale="87" r:id="rId1"/>
  <headerFooter alignWithMargins="0">
    <oddFooter>&amp;L&amp;Z&amp;F : แผ่นงาน ; 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66"/>
  <sheetViews>
    <sheetView zoomScale="115" zoomScaleNormal="115" zoomScalePageLayoutView="0" workbookViewId="0" topLeftCell="A56">
      <selection activeCell="H57" sqref="H57"/>
    </sheetView>
  </sheetViews>
  <sheetFormatPr defaultColWidth="9.140625" defaultRowHeight="12.75"/>
  <cols>
    <col min="1" max="1" width="11.57421875" style="18" customWidth="1"/>
    <col min="2" max="2" width="31.421875" style="18" customWidth="1"/>
    <col min="3" max="3" width="12.28125" style="18" customWidth="1"/>
    <col min="4" max="4" width="10.7109375" style="18" hidden="1" customWidth="1"/>
    <col min="5" max="5" width="11.00390625" style="18" customWidth="1"/>
    <col min="6" max="6" width="6.57421875" style="18" customWidth="1"/>
    <col min="7" max="7" width="12.28125" style="18" customWidth="1"/>
    <col min="8" max="8" width="6.57421875" style="18" customWidth="1"/>
    <col min="9" max="9" width="37.8515625" style="18" hidden="1" customWidth="1"/>
    <col min="10" max="10" width="17.140625" style="18" hidden="1" customWidth="1"/>
    <col min="11" max="11" width="9.28125" style="18" customWidth="1"/>
    <col min="12" max="12" width="6.28125" style="18" customWidth="1"/>
    <col min="13" max="16" width="10.7109375" style="18" hidden="1" customWidth="1"/>
    <col min="17" max="17" width="12.8515625" style="18" hidden="1" customWidth="1"/>
    <col min="18" max="18" width="10.7109375" style="18" hidden="1" customWidth="1"/>
    <col min="19" max="19" width="10.7109375" style="18" customWidth="1"/>
    <col min="20" max="20" width="23.140625" style="18" customWidth="1"/>
    <col min="21" max="21" width="16.140625" style="18" customWidth="1"/>
    <col min="22" max="22" width="16.00390625" style="18" hidden="1" customWidth="1"/>
    <col min="23" max="16384" width="9.140625" style="18" customWidth="1"/>
  </cols>
  <sheetData>
    <row r="1" spans="2:13" ht="25.5" customHeight="1" hidden="1">
      <c r="B1" s="17" t="s">
        <v>20</v>
      </c>
      <c r="C1" s="17" t="s">
        <v>66</v>
      </c>
      <c r="D1" s="17" t="s">
        <v>67</v>
      </c>
      <c r="E1" s="17"/>
      <c r="F1" s="17" t="s">
        <v>6</v>
      </c>
      <c r="G1" s="17" t="s">
        <v>6</v>
      </c>
      <c r="H1" s="17" t="s">
        <v>6</v>
      </c>
      <c r="I1" s="17"/>
      <c r="J1" s="17"/>
      <c r="K1" s="17"/>
      <c r="L1" s="17"/>
      <c r="M1" s="17"/>
    </row>
    <row r="2" spans="2:13" ht="51" customHeight="1" hidden="1">
      <c r="B2" s="19" t="s">
        <v>237</v>
      </c>
      <c r="C2" s="20">
        <v>2</v>
      </c>
      <c r="D2" s="21" t="s">
        <v>313</v>
      </c>
      <c r="E2" s="21" t="s">
        <v>155</v>
      </c>
      <c r="F2" s="21" t="s">
        <v>15</v>
      </c>
      <c r="G2" s="21" t="s">
        <v>243</v>
      </c>
      <c r="H2" s="21" t="s">
        <v>310</v>
      </c>
      <c r="I2" s="21">
        <v>20</v>
      </c>
      <c r="J2" s="21">
        <v>50</v>
      </c>
      <c r="K2" s="21"/>
      <c r="L2" s="21"/>
      <c r="M2" s="21"/>
    </row>
    <row r="3" spans="2:17" ht="51" customHeight="1" hidden="1">
      <c r="B3" s="19" t="s">
        <v>522</v>
      </c>
      <c r="C3" s="20">
        <v>1</v>
      </c>
      <c r="D3" s="21" t="s">
        <v>313</v>
      </c>
      <c r="E3" s="21" t="s">
        <v>155</v>
      </c>
      <c r="F3" s="21" t="s">
        <v>15</v>
      </c>
      <c r="G3" s="21" t="s">
        <v>243</v>
      </c>
      <c r="H3" s="21" t="s">
        <v>310</v>
      </c>
      <c r="I3" s="21">
        <v>20</v>
      </c>
      <c r="J3" s="21">
        <v>50</v>
      </c>
      <c r="K3" s="21"/>
      <c r="L3" s="21"/>
      <c r="M3" s="21"/>
      <c r="Q3" s="18" t="s">
        <v>308</v>
      </c>
    </row>
    <row r="4" spans="2:17" ht="51" customHeight="1" hidden="1">
      <c r="B4" s="19" t="s">
        <v>238</v>
      </c>
      <c r="C4" s="20">
        <v>3</v>
      </c>
      <c r="D4" s="21" t="s">
        <v>313</v>
      </c>
      <c r="E4" s="21" t="s">
        <v>155</v>
      </c>
      <c r="F4" s="21" t="s">
        <v>15</v>
      </c>
      <c r="G4" s="21" t="s">
        <v>243</v>
      </c>
      <c r="H4" s="21" t="s">
        <v>310</v>
      </c>
      <c r="I4" s="21">
        <v>20</v>
      </c>
      <c r="J4" s="21">
        <v>50</v>
      </c>
      <c r="K4" s="21"/>
      <c r="L4" s="21"/>
      <c r="M4" s="21"/>
      <c r="Q4" s="18" t="s">
        <v>246</v>
      </c>
    </row>
    <row r="5" spans="2:17" ht="51" customHeight="1" hidden="1">
      <c r="B5" s="19" t="s">
        <v>239</v>
      </c>
      <c r="C5" s="20">
        <v>2</v>
      </c>
      <c r="D5" s="21" t="s">
        <v>313</v>
      </c>
      <c r="E5" s="21" t="s">
        <v>155</v>
      </c>
      <c r="F5" s="21" t="s">
        <v>15</v>
      </c>
      <c r="G5" s="21" t="s">
        <v>243</v>
      </c>
      <c r="H5" s="21" t="s">
        <v>310</v>
      </c>
      <c r="I5" s="21">
        <v>20</v>
      </c>
      <c r="J5" s="21">
        <v>50</v>
      </c>
      <c r="K5" s="21"/>
      <c r="L5" s="21"/>
      <c r="M5" s="21"/>
      <c r="Q5" s="18" t="s">
        <v>353</v>
      </c>
    </row>
    <row r="6" spans="2:17" ht="51" customHeight="1" hidden="1">
      <c r="B6" s="19" t="s">
        <v>284</v>
      </c>
      <c r="C6" s="20">
        <v>3</v>
      </c>
      <c r="D6" s="21" t="s">
        <v>313</v>
      </c>
      <c r="E6" s="21" t="s">
        <v>155</v>
      </c>
      <c r="F6" s="21" t="s">
        <v>15</v>
      </c>
      <c r="G6" s="21" t="s">
        <v>243</v>
      </c>
      <c r="H6" s="21" t="s">
        <v>244</v>
      </c>
      <c r="I6" s="21">
        <v>20</v>
      </c>
      <c r="J6" s="21">
        <v>50</v>
      </c>
      <c r="K6" s="21"/>
      <c r="L6" s="21"/>
      <c r="M6" s="21"/>
      <c r="Q6" s="18" t="s">
        <v>349</v>
      </c>
    </row>
    <row r="7" spans="2:17" ht="51" customHeight="1" hidden="1">
      <c r="B7" s="19" t="s">
        <v>285</v>
      </c>
      <c r="C7" s="20">
        <v>2</v>
      </c>
      <c r="D7" s="21" t="s">
        <v>313</v>
      </c>
      <c r="E7" s="21" t="s">
        <v>155</v>
      </c>
      <c r="F7" s="21" t="s">
        <v>15</v>
      </c>
      <c r="G7" s="21" t="s">
        <v>243</v>
      </c>
      <c r="H7" s="21" t="s">
        <v>244</v>
      </c>
      <c r="I7" s="21">
        <v>20</v>
      </c>
      <c r="J7" s="21">
        <v>50</v>
      </c>
      <c r="K7" s="21"/>
      <c r="L7" s="21"/>
      <c r="M7" s="21"/>
      <c r="Q7" s="18" t="s">
        <v>350</v>
      </c>
    </row>
    <row r="8" spans="2:13" ht="51" customHeight="1" hidden="1">
      <c r="B8" s="19" t="s">
        <v>240</v>
      </c>
      <c r="C8" s="20">
        <f>2*1.5</f>
        <v>3</v>
      </c>
      <c r="D8" s="21" t="s">
        <v>313</v>
      </c>
      <c r="E8" s="21" t="s">
        <v>155</v>
      </c>
      <c r="F8" s="21" t="s">
        <v>15</v>
      </c>
      <c r="G8" s="21" t="s">
        <v>243</v>
      </c>
      <c r="H8" s="21" t="s">
        <v>310</v>
      </c>
      <c r="I8" s="21">
        <v>20</v>
      </c>
      <c r="J8" s="21">
        <v>50</v>
      </c>
      <c r="K8" s="21"/>
      <c r="L8" s="21"/>
      <c r="M8" s="21"/>
    </row>
    <row r="9" spans="2:13" ht="51" customHeight="1" hidden="1">
      <c r="B9" s="19" t="s">
        <v>241</v>
      </c>
      <c r="C9" s="20">
        <v>1.5</v>
      </c>
      <c r="D9" s="21" t="s">
        <v>313</v>
      </c>
      <c r="E9" s="21" t="s">
        <v>155</v>
      </c>
      <c r="F9" s="21" t="s">
        <v>15</v>
      </c>
      <c r="G9" s="21" t="s">
        <v>243</v>
      </c>
      <c r="H9" s="21" t="s">
        <v>310</v>
      </c>
      <c r="I9" s="21">
        <v>20</v>
      </c>
      <c r="J9" s="21">
        <v>50</v>
      </c>
      <c r="K9" s="21"/>
      <c r="L9" s="21"/>
      <c r="M9" s="21"/>
    </row>
    <row r="10" spans="2:13" ht="51" customHeight="1" hidden="1">
      <c r="B10" s="19" t="s">
        <v>247</v>
      </c>
      <c r="C10" s="20">
        <v>4.5</v>
      </c>
      <c r="D10" s="21" t="s">
        <v>313</v>
      </c>
      <c r="E10" s="21" t="s">
        <v>155</v>
      </c>
      <c r="F10" s="21" t="s">
        <v>15</v>
      </c>
      <c r="G10" s="21" t="s">
        <v>243</v>
      </c>
      <c r="H10" s="21" t="s">
        <v>310</v>
      </c>
      <c r="I10" s="21">
        <v>20</v>
      </c>
      <c r="J10" s="21">
        <v>50</v>
      </c>
      <c r="K10" s="21"/>
      <c r="L10" s="21"/>
      <c r="M10" s="21"/>
    </row>
    <row r="11" spans="2:13" ht="51" customHeight="1" hidden="1">
      <c r="B11" s="19" t="s">
        <v>242</v>
      </c>
      <c r="C11" s="20">
        <v>3</v>
      </c>
      <c r="D11" s="21" t="s">
        <v>313</v>
      </c>
      <c r="E11" s="21" t="s">
        <v>155</v>
      </c>
      <c r="F11" s="21" t="s">
        <v>15</v>
      </c>
      <c r="G11" s="21" t="s">
        <v>243</v>
      </c>
      <c r="H11" s="21" t="s">
        <v>310</v>
      </c>
      <c r="I11" s="21">
        <v>20</v>
      </c>
      <c r="J11" s="21">
        <v>50</v>
      </c>
      <c r="K11" s="21"/>
      <c r="L11" s="21"/>
      <c r="M11" s="21"/>
    </row>
    <row r="12" spans="2:13" ht="51" customHeight="1" hidden="1">
      <c r="B12" s="19" t="s">
        <v>286</v>
      </c>
      <c r="C12" s="20">
        <v>4.5</v>
      </c>
      <c r="D12" s="21" t="s">
        <v>313</v>
      </c>
      <c r="E12" s="21" t="s">
        <v>155</v>
      </c>
      <c r="F12" s="21" t="s">
        <v>15</v>
      </c>
      <c r="G12" s="21" t="s">
        <v>243</v>
      </c>
      <c r="H12" s="21" t="s">
        <v>244</v>
      </c>
      <c r="I12" s="21">
        <v>20</v>
      </c>
      <c r="J12" s="21">
        <v>50</v>
      </c>
      <c r="K12" s="21"/>
      <c r="L12" s="21"/>
      <c r="M12" s="21"/>
    </row>
    <row r="13" spans="2:13" ht="51" customHeight="1" hidden="1">
      <c r="B13" s="19" t="s">
        <v>287</v>
      </c>
      <c r="C13" s="20">
        <v>3</v>
      </c>
      <c r="D13" s="21" t="s">
        <v>313</v>
      </c>
      <c r="E13" s="21" t="s">
        <v>155</v>
      </c>
      <c r="F13" s="21" t="s">
        <v>15</v>
      </c>
      <c r="G13" s="21" t="s">
        <v>243</v>
      </c>
      <c r="H13" s="21" t="s">
        <v>244</v>
      </c>
      <c r="I13" s="21">
        <v>20</v>
      </c>
      <c r="J13" s="21">
        <v>50</v>
      </c>
      <c r="K13" s="21"/>
      <c r="L13" s="21"/>
      <c r="M13" s="21"/>
    </row>
    <row r="14" spans="2:13" ht="51" customHeight="1" hidden="1">
      <c r="B14" s="19" t="s">
        <v>108</v>
      </c>
      <c r="C14" s="20">
        <v>4</v>
      </c>
      <c r="D14" s="21" t="s">
        <v>313</v>
      </c>
      <c r="E14" s="21" t="s">
        <v>155</v>
      </c>
      <c r="F14" s="21" t="s">
        <v>15</v>
      </c>
      <c r="G14" s="21" t="s">
        <v>243</v>
      </c>
      <c r="H14" s="21" t="s">
        <v>310</v>
      </c>
      <c r="I14" s="21">
        <v>20</v>
      </c>
      <c r="J14" s="21">
        <v>20</v>
      </c>
      <c r="K14" s="21"/>
      <c r="L14" s="21"/>
      <c r="M14" s="21"/>
    </row>
    <row r="15" spans="2:13" ht="51" customHeight="1" hidden="1">
      <c r="B15" s="75" t="s">
        <v>529</v>
      </c>
      <c r="C15" s="20">
        <v>3</v>
      </c>
      <c r="D15" s="21" t="s">
        <v>313</v>
      </c>
      <c r="E15" s="21" t="s">
        <v>155</v>
      </c>
      <c r="F15" s="21" t="s">
        <v>15</v>
      </c>
      <c r="G15" s="21" t="s">
        <v>243</v>
      </c>
      <c r="H15" s="21" t="s">
        <v>310</v>
      </c>
      <c r="I15" s="21">
        <v>20</v>
      </c>
      <c r="J15" s="21">
        <v>20</v>
      </c>
      <c r="K15" s="21"/>
      <c r="L15" s="21"/>
      <c r="M15" s="21"/>
    </row>
    <row r="16" spans="2:13" ht="51" customHeight="1" hidden="1">
      <c r="B16" s="19" t="s">
        <v>156</v>
      </c>
      <c r="C16" s="20">
        <v>4</v>
      </c>
      <c r="D16" s="21" t="s">
        <v>313</v>
      </c>
      <c r="E16" s="21" t="s">
        <v>155</v>
      </c>
      <c r="F16" s="21" t="s">
        <v>15</v>
      </c>
      <c r="G16" s="21" t="s">
        <v>243</v>
      </c>
      <c r="H16" s="21" t="s">
        <v>244</v>
      </c>
      <c r="I16" s="21">
        <v>20</v>
      </c>
      <c r="J16" s="21">
        <v>20</v>
      </c>
      <c r="K16" s="21"/>
      <c r="L16" s="21"/>
      <c r="M16" s="21"/>
    </row>
    <row r="17" spans="2:13" ht="51" customHeight="1" hidden="1">
      <c r="B17" s="19" t="s">
        <v>288</v>
      </c>
      <c r="C17" s="20">
        <v>3</v>
      </c>
      <c r="D17" s="21" t="s">
        <v>313</v>
      </c>
      <c r="E17" s="21" t="s">
        <v>155</v>
      </c>
      <c r="F17" s="21" t="s">
        <v>15</v>
      </c>
      <c r="G17" s="21" t="s">
        <v>243</v>
      </c>
      <c r="H17" s="21" t="s">
        <v>244</v>
      </c>
      <c r="I17" s="21">
        <v>20</v>
      </c>
      <c r="J17" s="21">
        <v>20</v>
      </c>
      <c r="K17" s="21"/>
      <c r="L17" s="21"/>
      <c r="M17" s="21"/>
    </row>
    <row r="18" spans="2:13" ht="51" customHeight="1" hidden="1">
      <c r="B18" s="19" t="s">
        <v>109</v>
      </c>
      <c r="C18" s="20">
        <v>5.2</v>
      </c>
      <c r="D18" s="21" t="s">
        <v>313</v>
      </c>
      <c r="E18" s="21" t="s">
        <v>155</v>
      </c>
      <c r="F18" s="21" t="s">
        <v>15</v>
      </c>
      <c r="G18" s="21" t="s">
        <v>243</v>
      </c>
      <c r="H18" s="21" t="s">
        <v>310</v>
      </c>
      <c r="I18" s="21">
        <v>20</v>
      </c>
      <c r="J18" s="21">
        <v>20</v>
      </c>
      <c r="K18" s="21"/>
      <c r="L18" s="21"/>
      <c r="M18" s="21"/>
    </row>
    <row r="19" spans="2:13" ht="51" customHeight="1" hidden="1">
      <c r="B19" s="19" t="s">
        <v>110</v>
      </c>
      <c r="C19" s="20">
        <v>3.9</v>
      </c>
      <c r="D19" s="21" t="s">
        <v>313</v>
      </c>
      <c r="E19" s="21" t="s">
        <v>155</v>
      </c>
      <c r="F19" s="21" t="s">
        <v>15</v>
      </c>
      <c r="G19" s="21" t="s">
        <v>243</v>
      </c>
      <c r="H19" s="21" t="s">
        <v>310</v>
      </c>
      <c r="I19" s="21">
        <v>20</v>
      </c>
      <c r="J19" s="21">
        <v>20</v>
      </c>
      <c r="K19" s="21"/>
      <c r="L19" s="21"/>
      <c r="M19" s="21"/>
    </row>
    <row r="20" spans="2:13" ht="51" customHeight="1" hidden="1">
      <c r="B20" s="19" t="s">
        <v>289</v>
      </c>
      <c r="C20" s="20">
        <v>5.2</v>
      </c>
      <c r="D20" s="21" t="s">
        <v>313</v>
      </c>
      <c r="E20" s="21" t="s">
        <v>155</v>
      </c>
      <c r="F20" s="21" t="s">
        <v>15</v>
      </c>
      <c r="G20" s="21" t="s">
        <v>243</v>
      </c>
      <c r="H20" s="21" t="s">
        <v>244</v>
      </c>
      <c r="I20" s="21">
        <v>20</v>
      </c>
      <c r="J20" s="21">
        <v>20</v>
      </c>
      <c r="K20" s="21"/>
      <c r="L20" s="21"/>
      <c r="M20" s="21"/>
    </row>
    <row r="21" spans="2:13" ht="51" customHeight="1" hidden="1">
      <c r="B21" s="19" t="s">
        <v>290</v>
      </c>
      <c r="C21" s="20">
        <v>3.9</v>
      </c>
      <c r="D21" s="21" t="s">
        <v>313</v>
      </c>
      <c r="E21" s="21" t="s">
        <v>155</v>
      </c>
      <c r="F21" s="21" t="s">
        <v>15</v>
      </c>
      <c r="G21" s="21" t="s">
        <v>243</v>
      </c>
      <c r="H21" s="21" t="s">
        <v>244</v>
      </c>
      <c r="I21" s="21">
        <v>20</v>
      </c>
      <c r="J21" s="21">
        <v>20</v>
      </c>
      <c r="K21" s="21"/>
      <c r="L21" s="21"/>
      <c r="M21" s="21"/>
    </row>
    <row r="22" spans="2:13" ht="51" customHeight="1" hidden="1">
      <c r="B22" s="19" t="s">
        <v>111</v>
      </c>
      <c r="C22" s="20">
        <v>3</v>
      </c>
      <c r="D22" s="21" t="s">
        <v>313</v>
      </c>
      <c r="E22" s="21" t="s">
        <v>155</v>
      </c>
      <c r="F22" s="21" t="s">
        <v>15</v>
      </c>
      <c r="G22" s="21" t="s">
        <v>243</v>
      </c>
      <c r="H22" s="21" t="s">
        <v>310</v>
      </c>
      <c r="I22" s="21"/>
      <c r="J22" s="21"/>
      <c r="K22" s="21"/>
      <c r="L22" s="21"/>
      <c r="M22" s="21"/>
    </row>
    <row r="23" spans="2:13" ht="51" customHeight="1" hidden="1">
      <c r="B23" s="19" t="s">
        <v>112</v>
      </c>
      <c r="C23" s="20">
        <v>2</v>
      </c>
      <c r="D23" s="21" t="s">
        <v>313</v>
      </c>
      <c r="E23" s="21" t="s">
        <v>155</v>
      </c>
      <c r="F23" s="21" t="s">
        <v>15</v>
      </c>
      <c r="G23" s="21" t="s">
        <v>243</v>
      </c>
      <c r="H23" s="21" t="s">
        <v>310</v>
      </c>
      <c r="I23" s="21"/>
      <c r="J23" s="21"/>
      <c r="K23" s="21"/>
      <c r="L23" s="21"/>
      <c r="M23" s="21"/>
    </row>
    <row r="24" spans="2:13" ht="51" customHeight="1" hidden="1">
      <c r="B24" s="19" t="s">
        <v>113</v>
      </c>
      <c r="C24" s="20">
        <v>1</v>
      </c>
      <c r="D24" s="21" t="s">
        <v>313</v>
      </c>
      <c r="E24" s="21" t="s">
        <v>155</v>
      </c>
      <c r="F24" s="21" t="s">
        <v>15</v>
      </c>
      <c r="G24" s="21" t="s">
        <v>243</v>
      </c>
      <c r="H24" s="21" t="s">
        <v>310</v>
      </c>
      <c r="I24" s="21"/>
      <c r="J24" s="21"/>
      <c r="K24" s="21"/>
      <c r="L24" s="21"/>
      <c r="M24" s="21"/>
    </row>
    <row r="25" spans="2:13" ht="51" customHeight="1" hidden="1">
      <c r="B25" s="20" t="s">
        <v>248</v>
      </c>
      <c r="C25" s="20">
        <v>3</v>
      </c>
      <c r="D25" s="21" t="s">
        <v>313</v>
      </c>
      <c r="E25" s="21" t="s">
        <v>155</v>
      </c>
      <c r="F25" s="21" t="s">
        <v>15</v>
      </c>
      <c r="G25" s="21" t="s">
        <v>243</v>
      </c>
      <c r="H25" s="21" t="s">
        <v>310</v>
      </c>
      <c r="I25" s="21"/>
      <c r="J25" s="21"/>
      <c r="K25" s="21"/>
      <c r="L25" s="21"/>
      <c r="M25" s="21"/>
    </row>
    <row r="26" spans="2:13" ht="51" customHeight="1" hidden="1">
      <c r="B26" s="20" t="s">
        <v>249</v>
      </c>
      <c r="C26" s="20">
        <v>2.5</v>
      </c>
      <c r="D26" s="21" t="s">
        <v>313</v>
      </c>
      <c r="E26" s="21" t="s">
        <v>155</v>
      </c>
      <c r="F26" s="21" t="s">
        <v>15</v>
      </c>
      <c r="G26" s="21" t="s">
        <v>243</v>
      </c>
      <c r="H26" s="21" t="s">
        <v>310</v>
      </c>
      <c r="I26" s="21"/>
      <c r="J26" s="21"/>
      <c r="K26" s="21"/>
      <c r="L26" s="21"/>
      <c r="M26" s="21"/>
    </row>
    <row r="27" spans="2:13" ht="51" customHeight="1" hidden="1">
      <c r="B27" s="20" t="s">
        <v>250</v>
      </c>
      <c r="C27" s="20">
        <v>4</v>
      </c>
      <c r="D27" s="21" t="s">
        <v>313</v>
      </c>
      <c r="E27" s="21" t="s">
        <v>155</v>
      </c>
      <c r="F27" s="21" t="s">
        <v>15</v>
      </c>
      <c r="G27" s="21" t="s">
        <v>243</v>
      </c>
      <c r="H27" s="21" t="s">
        <v>310</v>
      </c>
      <c r="I27" s="21"/>
      <c r="J27" s="21"/>
      <c r="K27" s="21"/>
      <c r="L27" s="21"/>
      <c r="M27" s="21"/>
    </row>
    <row r="28" spans="2:13" ht="51" customHeight="1" hidden="1">
      <c r="B28" s="20" t="s">
        <v>251</v>
      </c>
      <c r="C28" s="20">
        <v>3.5</v>
      </c>
      <c r="D28" s="21" t="s">
        <v>313</v>
      </c>
      <c r="E28" s="21" t="s">
        <v>155</v>
      </c>
      <c r="F28" s="21" t="s">
        <v>15</v>
      </c>
      <c r="G28" s="21" t="s">
        <v>243</v>
      </c>
      <c r="H28" s="21" t="s">
        <v>310</v>
      </c>
      <c r="I28" s="21"/>
      <c r="J28" s="21"/>
      <c r="K28" s="21"/>
      <c r="L28" s="21"/>
      <c r="M28" s="21"/>
    </row>
    <row r="29" spans="2:13" ht="51" customHeight="1" hidden="1">
      <c r="B29" s="20" t="s">
        <v>253</v>
      </c>
      <c r="C29" s="20">
        <v>2</v>
      </c>
      <c r="D29" s="21" t="s">
        <v>313</v>
      </c>
      <c r="E29" s="21" t="s">
        <v>155</v>
      </c>
      <c r="F29" s="21" t="s">
        <v>15</v>
      </c>
      <c r="G29" s="21" t="s">
        <v>243</v>
      </c>
      <c r="H29" s="21" t="s">
        <v>310</v>
      </c>
      <c r="I29" s="21"/>
      <c r="J29" s="21"/>
      <c r="K29" s="21"/>
      <c r="L29" s="21"/>
      <c r="M29" s="21"/>
    </row>
    <row r="30" spans="2:13" ht="51" customHeight="1" hidden="1">
      <c r="B30" s="20" t="s">
        <v>254</v>
      </c>
      <c r="C30" s="20">
        <v>3</v>
      </c>
      <c r="D30" s="21" t="s">
        <v>313</v>
      </c>
      <c r="E30" s="21" t="s">
        <v>155</v>
      </c>
      <c r="F30" s="21" t="s">
        <v>15</v>
      </c>
      <c r="G30" s="21" t="s">
        <v>243</v>
      </c>
      <c r="H30" s="21" t="s">
        <v>310</v>
      </c>
      <c r="I30" s="21"/>
      <c r="J30" s="21"/>
      <c r="K30" s="21"/>
      <c r="L30" s="21"/>
      <c r="M30" s="21"/>
    </row>
    <row r="31" spans="2:13" ht="51" customHeight="1" hidden="1">
      <c r="B31" s="20" t="s">
        <v>255</v>
      </c>
      <c r="C31" s="20">
        <v>4</v>
      </c>
      <c r="D31" s="21" t="s">
        <v>313</v>
      </c>
      <c r="E31" s="21" t="s">
        <v>155</v>
      </c>
      <c r="F31" s="21" t="s">
        <v>15</v>
      </c>
      <c r="G31" s="21" t="s">
        <v>243</v>
      </c>
      <c r="H31" s="21" t="s">
        <v>310</v>
      </c>
      <c r="I31" s="21"/>
      <c r="J31" s="21"/>
      <c r="K31" s="21"/>
      <c r="L31" s="21"/>
      <c r="M31" s="21"/>
    </row>
    <row r="32" spans="2:13" ht="51" customHeight="1" hidden="1">
      <c r="B32" s="20" t="s">
        <v>256</v>
      </c>
      <c r="C32" s="20">
        <v>3</v>
      </c>
      <c r="D32" s="21" t="s">
        <v>313</v>
      </c>
      <c r="E32" s="21" t="s">
        <v>155</v>
      </c>
      <c r="F32" s="21" t="s">
        <v>15</v>
      </c>
      <c r="G32" s="21" t="s">
        <v>243</v>
      </c>
      <c r="H32" s="21" t="s">
        <v>310</v>
      </c>
      <c r="I32" s="21"/>
      <c r="J32" s="21"/>
      <c r="K32" s="21"/>
      <c r="L32" s="21"/>
      <c r="M32" s="21"/>
    </row>
    <row r="33" spans="2:13" ht="51" customHeight="1" hidden="1">
      <c r="B33" s="20" t="s">
        <v>257</v>
      </c>
      <c r="C33" s="20">
        <v>5</v>
      </c>
      <c r="D33" s="21" t="s">
        <v>313</v>
      </c>
      <c r="E33" s="21" t="s">
        <v>155</v>
      </c>
      <c r="F33" s="21" t="s">
        <v>15</v>
      </c>
      <c r="G33" s="21" t="s">
        <v>243</v>
      </c>
      <c r="H33" s="21" t="s">
        <v>310</v>
      </c>
      <c r="I33" s="21"/>
      <c r="J33" s="21"/>
      <c r="K33" s="21"/>
      <c r="L33" s="21"/>
      <c r="M33" s="21"/>
    </row>
    <row r="34" spans="2:13" ht="51" customHeight="1" hidden="1">
      <c r="B34" s="20" t="s">
        <v>258</v>
      </c>
      <c r="C34" s="20">
        <v>4</v>
      </c>
      <c r="D34" s="21" t="s">
        <v>313</v>
      </c>
      <c r="E34" s="21" t="s">
        <v>155</v>
      </c>
      <c r="F34" s="21" t="s">
        <v>15</v>
      </c>
      <c r="G34" s="21" t="s">
        <v>243</v>
      </c>
      <c r="H34" s="21" t="s">
        <v>310</v>
      </c>
      <c r="I34" s="21"/>
      <c r="J34" s="21"/>
      <c r="K34" s="21"/>
      <c r="L34" s="21"/>
      <c r="M34" s="21"/>
    </row>
    <row r="35" spans="2:13" ht="51" customHeight="1" hidden="1">
      <c r="B35" s="20" t="s">
        <v>259</v>
      </c>
      <c r="C35" s="20">
        <v>4</v>
      </c>
      <c r="D35" s="21" t="s">
        <v>313</v>
      </c>
      <c r="E35" s="21" t="s">
        <v>155</v>
      </c>
      <c r="F35" s="21" t="s">
        <v>15</v>
      </c>
      <c r="G35" s="21" t="s">
        <v>243</v>
      </c>
      <c r="H35" s="21" t="s">
        <v>310</v>
      </c>
      <c r="I35" s="21"/>
      <c r="J35" s="21"/>
      <c r="K35" s="21"/>
      <c r="L35" s="21"/>
      <c r="M35" s="21"/>
    </row>
    <row r="36" spans="2:13" ht="51" customHeight="1" hidden="1">
      <c r="B36" s="20" t="s">
        <v>260</v>
      </c>
      <c r="C36" s="20">
        <v>5</v>
      </c>
      <c r="D36" s="21" t="s">
        <v>313</v>
      </c>
      <c r="E36" s="21" t="s">
        <v>155</v>
      </c>
      <c r="F36" s="21" t="s">
        <v>15</v>
      </c>
      <c r="G36" s="21" t="s">
        <v>243</v>
      </c>
      <c r="H36" s="21" t="s">
        <v>310</v>
      </c>
      <c r="I36" s="21"/>
      <c r="J36" s="21"/>
      <c r="K36" s="21"/>
      <c r="L36" s="21"/>
      <c r="M36" s="21"/>
    </row>
    <row r="37" spans="2:13" ht="51" customHeight="1" hidden="1">
      <c r="B37" s="20" t="s">
        <v>261</v>
      </c>
      <c r="C37" s="20">
        <v>4</v>
      </c>
      <c r="D37" s="21" t="s">
        <v>313</v>
      </c>
      <c r="E37" s="21" t="s">
        <v>155</v>
      </c>
      <c r="F37" s="21" t="s">
        <v>15</v>
      </c>
      <c r="G37" s="21" t="s">
        <v>243</v>
      </c>
      <c r="H37" s="21" t="s">
        <v>310</v>
      </c>
      <c r="I37" s="21"/>
      <c r="J37" s="21"/>
      <c r="K37" s="21"/>
      <c r="L37" s="21"/>
      <c r="M37" s="21"/>
    </row>
    <row r="38" spans="2:13" ht="51" customHeight="1" hidden="1">
      <c r="B38" s="20" t="s">
        <v>262</v>
      </c>
      <c r="C38" s="20">
        <v>3</v>
      </c>
      <c r="D38" s="21" t="s">
        <v>313</v>
      </c>
      <c r="E38" s="21" t="s">
        <v>155</v>
      </c>
      <c r="F38" s="21" t="s">
        <v>15</v>
      </c>
      <c r="G38" s="21" t="s">
        <v>243</v>
      </c>
      <c r="H38" s="21" t="s">
        <v>310</v>
      </c>
      <c r="I38" s="21"/>
      <c r="J38" s="21"/>
      <c r="K38" s="21"/>
      <c r="L38" s="21"/>
      <c r="M38" s="21"/>
    </row>
    <row r="39" spans="2:13" ht="51" customHeight="1" hidden="1">
      <c r="B39" s="20" t="s">
        <v>263</v>
      </c>
      <c r="C39" s="20">
        <v>5</v>
      </c>
      <c r="D39" s="21" t="s">
        <v>313</v>
      </c>
      <c r="E39" s="21" t="s">
        <v>155</v>
      </c>
      <c r="F39" s="21" t="s">
        <v>15</v>
      </c>
      <c r="G39" s="21" t="s">
        <v>243</v>
      </c>
      <c r="H39" s="21" t="s">
        <v>310</v>
      </c>
      <c r="I39" s="21"/>
      <c r="J39" s="21"/>
      <c r="K39" s="21"/>
      <c r="L39" s="21"/>
      <c r="M39" s="21"/>
    </row>
    <row r="40" spans="2:13" ht="51" customHeight="1" hidden="1">
      <c r="B40" s="20" t="s">
        <v>264</v>
      </c>
      <c r="C40" s="20">
        <v>4</v>
      </c>
      <c r="D40" s="21" t="s">
        <v>313</v>
      </c>
      <c r="E40" s="21" t="s">
        <v>155</v>
      </c>
      <c r="F40" s="21" t="s">
        <v>15</v>
      </c>
      <c r="G40" s="21" t="s">
        <v>243</v>
      </c>
      <c r="H40" s="21" t="s">
        <v>310</v>
      </c>
      <c r="I40" s="21"/>
      <c r="J40" s="21"/>
      <c r="K40" s="21"/>
      <c r="L40" s="21"/>
      <c r="M40" s="21"/>
    </row>
    <row r="41" spans="2:13" ht="51" customHeight="1" hidden="1">
      <c r="B41" s="20" t="s">
        <v>265</v>
      </c>
      <c r="C41" s="20">
        <v>4</v>
      </c>
      <c r="D41" s="21" t="s">
        <v>313</v>
      </c>
      <c r="E41" s="21" t="s">
        <v>155</v>
      </c>
      <c r="F41" s="21" t="s">
        <v>15</v>
      </c>
      <c r="G41" s="21" t="s">
        <v>243</v>
      </c>
      <c r="H41" s="21" t="s">
        <v>310</v>
      </c>
      <c r="I41" s="21"/>
      <c r="J41" s="21"/>
      <c r="K41" s="21"/>
      <c r="L41" s="21"/>
      <c r="M41" s="21"/>
    </row>
    <row r="42" spans="2:13" ht="51" customHeight="1" hidden="1">
      <c r="B42" s="20" t="s">
        <v>266</v>
      </c>
      <c r="C42" s="20">
        <v>5</v>
      </c>
      <c r="D42" s="21" t="s">
        <v>313</v>
      </c>
      <c r="E42" s="21" t="s">
        <v>155</v>
      </c>
      <c r="F42" s="21" t="s">
        <v>15</v>
      </c>
      <c r="G42" s="21" t="s">
        <v>243</v>
      </c>
      <c r="H42" s="21" t="s">
        <v>310</v>
      </c>
      <c r="I42" s="21"/>
      <c r="J42" s="21"/>
      <c r="K42" s="21"/>
      <c r="L42" s="21"/>
      <c r="M42" s="21"/>
    </row>
    <row r="43" spans="2:13" ht="51" customHeight="1" hidden="1">
      <c r="B43" s="20" t="s">
        <v>267</v>
      </c>
      <c r="C43" s="20">
        <v>3</v>
      </c>
      <c r="D43" s="21" t="s">
        <v>313</v>
      </c>
      <c r="E43" s="21" t="s">
        <v>155</v>
      </c>
      <c r="F43" s="21" t="s">
        <v>15</v>
      </c>
      <c r="G43" s="21" t="s">
        <v>243</v>
      </c>
      <c r="H43" s="21" t="s">
        <v>310</v>
      </c>
      <c r="I43" s="21"/>
      <c r="J43" s="21"/>
      <c r="K43" s="21"/>
      <c r="L43" s="21"/>
      <c r="M43" s="21"/>
    </row>
    <row r="44" spans="2:13" ht="51" customHeight="1" hidden="1">
      <c r="B44" s="20" t="s">
        <v>268</v>
      </c>
      <c r="C44" s="20">
        <v>5</v>
      </c>
      <c r="D44" s="21" t="s">
        <v>313</v>
      </c>
      <c r="E44" s="21" t="s">
        <v>155</v>
      </c>
      <c r="F44" s="21" t="s">
        <v>15</v>
      </c>
      <c r="G44" s="21" t="s">
        <v>243</v>
      </c>
      <c r="H44" s="21" t="s">
        <v>310</v>
      </c>
      <c r="I44" s="21"/>
      <c r="J44" s="21"/>
      <c r="K44" s="21"/>
      <c r="L44" s="21"/>
      <c r="M44" s="21"/>
    </row>
    <row r="45" spans="2:13" ht="51" customHeight="1" hidden="1">
      <c r="B45" s="20" t="s">
        <v>269</v>
      </c>
      <c r="C45" s="20">
        <v>7</v>
      </c>
      <c r="D45" s="21" t="s">
        <v>313</v>
      </c>
      <c r="E45" s="21" t="s">
        <v>155</v>
      </c>
      <c r="F45" s="21" t="s">
        <v>15</v>
      </c>
      <c r="G45" s="21" t="s">
        <v>243</v>
      </c>
      <c r="H45" s="21" t="s">
        <v>310</v>
      </c>
      <c r="I45" s="21"/>
      <c r="J45" s="21"/>
      <c r="K45" s="21"/>
      <c r="L45" s="21"/>
      <c r="M45" s="21"/>
    </row>
    <row r="46" spans="2:13" ht="51" customHeight="1" hidden="1">
      <c r="B46" s="20" t="s">
        <v>270</v>
      </c>
      <c r="C46" s="20">
        <v>9</v>
      </c>
      <c r="D46" s="21" t="s">
        <v>313</v>
      </c>
      <c r="E46" s="21" t="s">
        <v>155</v>
      </c>
      <c r="F46" s="21" t="s">
        <v>15</v>
      </c>
      <c r="G46" s="21" t="s">
        <v>243</v>
      </c>
      <c r="H46" s="21" t="s">
        <v>310</v>
      </c>
      <c r="I46" s="21"/>
      <c r="J46" s="21"/>
      <c r="K46" s="21"/>
      <c r="L46" s="21"/>
      <c r="M46" s="21"/>
    </row>
    <row r="47" spans="2:13" ht="51" customHeight="1" hidden="1">
      <c r="B47" s="20" t="s">
        <v>271</v>
      </c>
      <c r="C47" s="20">
        <v>2</v>
      </c>
      <c r="D47" s="21" t="s">
        <v>313</v>
      </c>
      <c r="E47" s="21" t="s">
        <v>155</v>
      </c>
      <c r="F47" s="21" t="s">
        <v>15</v>
      </c>
      <c r="G47" s="21" t="s">
        <v>243</v>
      </c>
      <c r="H47" s="21" t="s">
        <v>310</v>
      </c>
      <c r="I47" s="21"/>
      <c r="J47" s="21"/>
      <c r="K47" s="21"/>
      <c r="L47" s="21"/>
      <c r="M47" s="21"/>
    </row>
    <row r="48" spans="2:13" ht="51" customHeight="1" hidden="1">
      <c r="B48" s="20" t="s">
        <v>272</v>
      </c>
      <c r="C48" s="20">
        <v>4</v>
      </c>
      <c r="D48" s="21" t="s">
        <v>313</v>
      </c>
      <c r="E48" s="21" t="s">
        <v>155</v>
      </c>
      <c r="F48" s="21" t="s">
        <v>15</v>
      </c>
      <c r="G48" s="21" t="s">
        <v>243</v>
      </c>
      <c r="H48" s="21" t="s">
        <v>310</v>
      </c>
      <c r="I48" s="21"/>
      <c r="J48" s="21"/>
      <c r="K48" s="21"/>
      <c r="L48" s="21"/>
      <c r="M48" s="21"/>
    </row>
    <row r="49" spans="2:13" ht="51" customHeight="1" hidden="1">
      <c r="B49" s="20" t="s">
        <v>273</v>
      </c>
      <c r="C49" s="20">
        <v>6</v>
      </c>
      <c r="D49" s="21" t="s">
        <v>313</v>
      </c>
      <c r="E49" s="21" t="s">
        <v>155</v>
      </c>
      <c r="F49" s="21" t="s">
        <v>15</v>
      </c>
      <c r="G49" s="21" t="s">
        <v>243</v>
      </c>
      <c r="H49" s="21" t="s">
        <v>310</v>
      </c>
      <c r="I49" s="21"/>
      <c r="J49" s="21"/>
      <c r="K49" s="21"/>
      <c r="L49" s="21"/>
      <c r="M49" s="21"/>
    </row>
    <row r="50" spans="2:13" ht="51" customHeight="1" hidden="1">
      <c r="B50" s="20" t="s">
        <v>274</v>
      </c>
      <c r="C50" s="20">
        <v>8</v>
      </c>
      <c r="D50" s="21" t="s">
        <v>313</v>
      </c>
      <c r="E50" s="21" t="s">
        <v>155</v>
      </c>
      <c r="F50" s="21" t="s">
        <v>15</v>
      </c>
      <c r="G50" s="21" t="s">
        <v>243</v>
      </c>
      <c r="H50" s="21" t="s">
        <v>310</v>
      </c>
      <c r="I50" s="21"/>
      <c r="J50" s="21"/>
      <c r="K50" s="21"/>
      <c r="L50" s="21"/>
      <c r="M50" s="21"/>
    </row>
    <row r="51" spans="2:13" ht="51" customHeight="1" hidden="1">
      <c r="B51" s="20" t="s">
        <v>275</v>
      </c>
      <c r="C51" s="20">
        <v>4</v>
      </c>
      <c r="D51" s="21" t="s">
        <v>313</v>
      </c>
      <c r="E51" s="21" t="s">
        <v>155</v>
      </c>
      <c r="F51" s="21" t="s">
        <v>15</v>
      </c>
      <c r="G51" s="21" t="s">
        <v>243</v>
      </c>
      <c r="H51" s="21" t="s">
        <v>310</v>
      </c>
      <c r="I51" s="21"/>
      <c r="J51" s="21"/>
      <c r="K51" s="21"/>
      <c r="L51" s="21"/>
      <c r="M51" s="21"/>
    </row>
    <row r="52" spans="2:13" ht="25.5" customHeight="1" hidden="1">
      <c r="B52" s="20" t="s">
        <v>283</v>
      </c>
      <c r="C52" s="20">
        <v>1</v>
      </c>
      <c r="D52" s="21" t="s">
        <v>244</v>
      </c>
      <c r="E52" s="21" t="s">
        <v>276</v>
      </c>
      <c r="F52" s="21" t="s">
        <v>15</v>
      </c>
      <c r="G52" s="21" t="s">
        <v>309</v>
      </c>
      <c r="H52" s="21" t="s">
        <v>310</v>
      </c>
      <c r="I52" s="21"/>
      <c r="J52" s="21"/>
      <c r="K52" s="21"/>
      <c r="L52" s="21"/>
      <c r="M52" s="21"/>
    </row>
    <row r="53" spans="2:13" ht="12.75" customHeight="1" hidden="1">
      <c r="B53" s="20" t="s">
        <v>119</v>
      </c>
      <c r="C53" s="20">
        <v>1</v>
      </c>
      <c r="D53" s="21" t="s">
        <v>314</v>
      </c>
      <c r="E53" s="21" t="s">
        <v>150</v>
      </c>
      <c r="F53" s="21" t="s">
        <v>15</v>
      </c>
      <c r="G53" s="21" t="s">
        <v>309</v>
      </c>
      <c r="H53" s="21" t="s">
        <v>310</v>
      </c>
      <c r="I53" s="21"/>
      <c r="J53" s="21"/>
      <c r="K53" s="21"/>
      <c r="L53" s="21"/>
      <c r="M53" s="21"/>
    </row>
    <row r="54" spans="2:13" ht="12.75" customHeight="1" hidden="1">
      <c r="B54" s="20" t="s">
        <v>279</v>
      </c>
      <c r="C54" s="20">
        <v>1</v>
      </c>
      <c r="D54" s="21" t="s">
        <v>252</v>
      </c>
      <c r="E54" s="21" t="s">
        <v>276</v>
      </c>
      <c r="F54" s="21" t="s">
        <v>15</v>
      </c>
      <c r="G54" s="21" t="s">
        <v>309</v>
      </c>
      <c r="H54" s="21" t="s">
        <v>310</v>
      </c>
      <c r="I54" s="21"/>
      <c r="J54" s="21"/>
      <c r="K54" s="21"/>
      <c r="L54" s="21"/>
      <c r="M54" s="21"/>
    </row>
    <row r="55" ht="14.25" hidden="1"/>
    <row r="56" spans="1:21" ht="25.5" customHeight="1">
      <c r="A56" s="319" t="s">
        <v>524</v>
      </c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</row>
    <row r="57" spans="1:21" ht="12.75" customHeight="1">
      <c r="A57" s="22" t="s">
        <v>23</v>
      </c>
      <c r="B57" s="310" t="str">
        <f>ข้อมูลผู้กรอกและสรุปภาระงาน!B11</f>
        <v>ชื่ออาจารย์</v>
      </c>
      <c r="C57" s="310"/>
      <c r="D57" s="310"/>
      <c r="E57" s="325" t="s">
        <v>364</v>
      </c>
      <c r="F57" s="326"/>
      <c r="G57" s="327"/>
      <c r="H57" s="56">
        <f>SUM(Q66:Q784)+SUM(R66:R784)/26</f>
        <v>0</v>
      </c>
      <c r="J57" s="24"/>
      <c r="K57" s="24"/>
      <c r="L57" s="24"/>
      <c r="M57" s="24"/>
      <c r="N57" s="24"/>
      <c r="O57" s="24"/>
      <c r="P57" s="24"/>
      <c r="Q57" s="25"/>
      <c r="R57" s="26"/>
      <c r="S57" s="26"/>
      <c r="T57" s="27"/>
      <c r="U57" s="28"/>
    </row>
    <row r="58" spans="1:21" ht="12.75" customHeight="1">
      <c r="A58" s="29" t="s">
        <v>22</v>
      </c>
      <c r="B58" s="310" t="str">
        <f>ข้อมูลผู้กรอกและสรุปภาระงาน!B12</f>
        <v>ชื่อภาควิชา</v>
      </c>
      <c r="C58" s="310"/>
      <c r="D58" s="311"/>
      <c r="E58" s="322" t="s">
        <v>366</v>
      </c>
      <c r="F58" s="323"/>
      <c r="G58" s="323"/>
      <c r="H58" s="324"/>
      <c r="I58" s="24"/>
      <c r="J58" s="24"/>
      <c r="K58" s="24"/>
      <c r="L58" s="24"/>
      <c r="M58" s="24"/>
      <c r="N58" s="24"/>
      <c r="O58" s="24"/>
      <c r="P58" s="24"/>
      <c r="Q58" s="31"/>
      <c r="R58" s="31"/>
      <c r="S58" s="31"/>
      <c r="T58" s="27"/>
      <c r="U58" s="28"/>
    </row>
    <row r="59" spans="1:21" ht="12.75" customHeight="1">
      <c r="A59" s="29" t="s">
        <v>153</v>
      </c>
      <c r="B59" s="310" t="str">
        <f>ข้อมูลผู้กรอกและสรุปภาระงาน!B16</f>
        <v>รอบที่ 2 เดือนกุมภาพันธ์ 2563 - กรกฎาคม 2563</v>
      </c>
      <c r="C59" s="310"/>
      <c r="D59" s="311"/>
      <c r="E59" s="32" t="s">
        <v>349</v>
      </c>
      <c r="F59" s="32">
        <f>SUMIF(C66:C795,E59,V66:V795)</f>
        <v>0</v>
      </c>
      <c r="G59" s="32" t="s">
        <v>350</v>
      </c>
      <c r="H59" s="32">
        <f>SUMIF(C66:C795,G59,V66:V795)</f>
        <v>0</v>
      </c>
      <c r="I59" s="31"/>
      <c r="J59" s="31"/>
      <c r="K59" s="31"/>
      <c r="L59" s="31"/>
      <c r="M59" s="31"/>
      <c r="N59" s="31"/>
      <c r="O59" s="31"/>
      <c r="P59" s="31"/>
      <c r="Q59" s="33"/>
      <c r="R59" s="33"/>
      <c r="S59" s="33"/>
      <c r="T59" s="33"/>
      <c r="U59" s="28"/>
    </row>
    <row r="60" spans="1:21" ht="12.75" customHeight="1">
      <c r="A60" s="34"/>
      <c r="B60" s="35"/>
      <c r="C60" s="35"/>
      <c r="D60" s="57"/>
      <c r="E60" s="322" t="s">
        <v>365</v>
      </c>
      <c r="F60" s="323"/>
      <c r="G60" s="323"/>
      <c r="H60" s="324"/>
      <c r="I60" s="31"/>
      <c r="J60" s="31"/>
      <c r="K60" s="31"/>
      <c r="L60" s="31"/>
      <c r="M60" s="31"/>
      <c r="N60" s="31"/>
      <c r="O60" s="31"/>
      <c r="P60" s="31"/>
      <c r="Q60" s="33"/>
      <c r="R60" s="33"/>
      <c r="S60" s="33"/>
      <c r="T60" s="33"/>
      <c r="U60" s="28"/>
    </row>
    <row r="61" spans="1:21" ht="12.75" customHeight="1">
      <c r="A61" s="34"/>
      <c r="B61" s="35"/>
      <c r="C61" s="35"/>
      <c r="D61" s="57"/>
      <c r="E61" s="32" t="s">
        <v>349</v>
      </c>
      <c r="F61" s="32">
        <f>SUMIF(C66:C797,E61,Q66:Q797)</f>
        <v>0</v>
      </c>
      <c r="G61" s="32" t="s">
        <v>350</v>
      </c>
      <c r="H61" s="32">
        <f>SUMIF(C66:C797,G61,Q66:Q797)</f>
        <v>0</v>
      </c>
      <c r="I61" s="31"/>
      <c r="J61" s="31"/>
      <c r="K61" s="31"/>
      <c r="L61" s="31"/>
      <c r="M61" s="31"/>
      <c r="N61" s="31"/>
      <c r="O61" s="31"/>
      <c r="P61" s="31"/>
      <c r="Q61" s="33"/>
      <c r="R61" s="33"/>
      <c r="S61" s="33"/>
      <c r="T61" s="33"/>
      <c r="U61" s="28"/>
    </row>
    <row r="62" spans="1:21" ht="12.75" customHeight="1">
      <c r="A62" s="34"/>
      <c r="B62" s="35"/>
      <c r="C62" s="35"/>
      <c r="D62" s="35"/>
      <c r="E62" s="30"/>
      <c r="F62" s="30"/>
      <c r="G62" s="30"/>
      <c r="H62" s="30"/>
      <c r="I62" s="31"/>
      <c r="J62" s="31"/>
      <c r="K62" s="31"/>
      <c r="L62" s="31"/>
      <c r="M62" s="31"/>
      <c r="N62" s="31"/>
      <c r="O62" s="31"/>
      <c r="P62" s="31"/>
      <c r="Q62" s="33"/>
      <c r="R62" s="33"/>
      <c r="S62" s="33"/>
      <c r="T62" s="33"/>
      <c r="U62" s="28"/>
    </row>
    <row r="64" spans="1:21" s="39" customFormat="1" ht="12.75" customHeight="1">
      <c r="A64" s="320" t="s">
        <v>1</v>
      </c>
      <c r="B64" s="320" t="s">
        <v>337</v>
      </c>
      <c r="C64" s="329" t="s">
        <v>311</v>
      </c>
      <c r="D64" s="330"/>
      <c r="E64" s="330"/>
      <c r="F64" s="330"/>
      <c r="G64" s="330"/>
      <c r="H64" s="330"/>
      <c r="I64" s="330"/>
      <c r="J64" s="330"/>
      <c r="K64" s="330"/>
      <c r="L64" s="330"/>
      <c r="M64" s="37"/>
      <c r="N64" s="37"/>
      <c r="O64" s="37"/>
      <c r="P64" s="37"/>
      <c r="Q64" s="315" t="s">
        <v>7</v>
      </c>
      <c r="R64" s="316"/>
      <c r="S64" s="312" t="s">
        <v>319</v>
      </c>
      <c r="T64" s="313"/>
      <c r="U64" s="314"/>
    </row>
    <row r="65" spans="1:21" s="39" customFormat="1" ht="30">
      <c r="A65" s="321"/>
      <c r="B65" s="321"/>
      <c r="C65" s="36" t="s">
        <v>351</v>
      </c>
      <c r="D65" s="41" t="s">
        <v>7</v>
      </c>
      <c r="E65" s="312" t="s">
        <v>330</v>
      </c>
      <c r="F65" s="314"/>
      <c r="G65" s="312" t="s">
        <v>358</v>
      </c>
      <c r="H65" s="314"/>
      <c r="I65" s="312" t="s">
        <v>312</v>
      </c>
      <c r="J65" s="314"/>
      <c r="K65" s="312" t="s">
        <v>359</v>
      </c>
      <c r="L65" s="314"/>
      <c r="M65" s="38"/>
      <c r="N65" s="38"/>
      <c r="O65" s="38"/>
      <c r="P65" s="38" t="s">
        <v>2</v>
      </c>
      <c r="Q65" s="42" t="s">
        <v>16</v>
      </c>
      <c r="R65" s="43" t="s">
        <v>17</v>
      </c>
      <c r="S65" s="312" t="s">
        <v>360</v>
      </c>
      <c r="T65" s="314"/>
      <c r="U65" s="36" t="s">
        <v>3</v>
      </c>
    </row>
    <row r="66" spans="1:22" ht="28.5">
      <c r="A66" s="44"/>
      <c r="B66" s="45" t="s">
        <v>237</v>
      </c>
      <c r="C66" s="45" t="s">
        <v>350</v>
      </c>
      <c r="D66" s="46">
        <f>VLOOKUP(B66,$B$2:$P$55,2,FALSE)</f>
        <v>2</v>
      </c>
      <c r="E66" s="47" t="str">
        <f>VLOOKUP(B66,$B$2:$M$54,3,FALSE)</f>
        <v>ระบุจำนวนหน่วยกิต</v>
      </c>
      <c r="F66" s="48"/>
      <c r="G66" s="47" t="s">
        <v>331</v>
      </c>
      <c r="H66" s="49">
        <v>1</v>
      </c>
      <c r="I66" s="50" t="str">
        <f>VLOOKUP(B66,$B$2:$P$55,6,FALSE)</f>
        <v>ระบุการสอนในเวลาหรือนอกเวลา</v>
      </c>
      <c r="J66" s="51" t="s">
        <v>246</v>
      </c>
      <c r="K66" s="50" t="s">
        <v>244</v>
      </c>
      <c r="L66" s="48"/>
      <c r="M66" s="50">
        <f>VLOOKUP(B66,$B$2:$P$55,8,FALSE)</f>
        <v>20</v>
      </c>
      <c r="N66" s="50">
        <f>VLOOKUP(B66,$B$2:$P$55,9,FALSE)</f>
        <v>50</v>
      </c>
      <c r="O66" s="52">
        <f>IF(AND(I66="ระบุการสอนในเวลาหรือนอกเวลา",N66&lt;&gt;"",L66&gt;N66,K66="ระบุจำนวนนิสิต"),D66+(L66-N66)/N66,D66)</f>
        <v>2</v>
      </c>
      <c r="P66" s="53" t="str">
        <f>VLOOKUP(B66,$B$2:$P$55,5,FALSE)</f>
        <v>ต่อสัปดาห์</v>
      </c>
      <c r="Q66" s="54">
        <f>IF(AND(P66="ต่อสัปดาห์",J66="นอกเวลาราชการ",I66&lt;&gt;0),(O66+1)*F66/H66,IF(P66="ต่อสัปดาห์",F66*O66/H66,""))</f>
        <v>0</v>
      </c>
      <c r="R66" s="54">
        <f>IF(P66="ภาระงาน",F66*D66/H66,"")</f>
      </c>
      <c r="S66" s="53" t="str">
        <f>VLOOKUP(B66,$B$2:$P$55,4,FALSE)</f>
        <v>ระบุรายวิชา</v>
      </c>
      <c r="T66" s="55"/>
      <c r="U66" s="55"/>
      <c r="V66" s="18">
        <f>F66/H66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A66:U135" name="ช่วง1"/>
  </protectedRanges>
  <mergeCells count="17">
    <mergeCell ref="E60:H60"/>
    <mergeCell ref="E58:H58"/>
    <mergeCell ref="E57:G57"/>
    <mergeCell ref="A56:U56"/>
    <mergeCell ref="B57:D57"/>
    <mergeCell ref="B58:D58"/>
    <mergeCell ref="B59:D59"/>
    <mergeCell ref="S64:U64"/>
    <mergeCell ref="Q64:R64"/>
    <mergeCell ref="A64:A65"/>
    <mergeCell ref="B64:B65"/>
    <mergeCell ref="S65:T65"/>
    <mergeCell ref="G65:H65"/>
    <mergeCell ref="I65:J65"/>
    <mergeCell ref="K65:L65"/>
    <mergeCell ref="E65:F65"/>
    <mergeCell ref="C64:L64"/>
  </mergeCells>
  <conditionalFormatting sqref="K66">
    <cfRule type="cellIs" priority="2" dxfId="0" operator="equal" stopIfTrue="1">
      <formula>"ระบุจำนวนนิสิต"</formula>
    </cfRule>
  </conditionalFormatting>
  <dataValidations count="3">
    <dataValidation type="list" allowBlank="1" showInputMessage="1" showErrorMessage="1" sqref="B66">
      <formula1>INDIRECT(ภาระงานการสอน)</formula1>
    </dataValidation>
    <dataValidation type="list" allowBlank="1" showInputMessage="1" showErrorMessage="1" sqref="J66">
      <formula1>INDIRECT(ในเวลาราชการ)</formula1>
    </dataValidation>
    <dataValidation type="list" allowBlank="1" showInputMessage="1" showErrorMessage="1" sqref="C66">
      <formula1>INDIRECT(ระดับการศึกษา2)</formula1>
    </dataValidation>
  </dataValidations>
  <printOptions/>
  <pageMargins left="0.1968503937007874" right="0.1968503937007874" top="0.4724409448818898" bottom="0.31496062992125984" header="0.15748031496062992" footer="0.15748031496062992"/>
  <pageSetup fitToHeight="5" fitToWidth="1" horizontalDpi="300" verticalDpi="300" orientation="landscape" paperSize="9" scale="93" r:id="rId1"/>
  <headerFooter alignWithMargins="0">
    <oddFooter>&amp;L&amp;Z&amp;F : แผ่นงาน ; 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25"/>
  <sheetViews>
    <sheetView zoomScale="115" zoomScaleNormal="115" zoomScalePageLayoutView="0" workbookViewId="0" topLeftCell="A18">
      <selection activeCell="G26" sqref="G26"/>
    </sheetView>
  </sheetViews>
  <sheetFormatPr defaultColWidth="9.140625" defaultRowHeight="12.75"/>
  <cols>
    <col min="1" max="1" width="10.140625" style="18" customWidth="1"/>
    <col min="2" max="2" width="41.7109375" style="18" customWidth="1"/>
    <col min="3" max="3" width="10.7109375" style="18" hidden="1" customWidth="1"/>
    <col min="4" max="4" width="14.140625" style="18" customWidth="1"/>
    <col min="5" max="5" width="7.7109375" style="18" customWidth="1"/>
    <col min="6" max="6" width="15.140625" style="18" customWidth="1"/>
    <col min="7" max="7" width="7.8515625" style="18" customWidth="1"/>
    <col min="8" max="8" width="25.8515625" style="18" hidden="1" customWidth="1"/>
    <col min="9" max="9" width="16.57421875" style="18" hidden="1" customWidth="1"/>
    <col min="10" max="10" width="20.7109375" style="18" hidden="1" customWidth="1"/>
    <col min="11" max="11" width="8.7109375" style="18" hidden="1" customWidth="1"/>
    <col min="12" max="15" width="10.7109375" style="18" hidden="1" customWidth="1"/>
    <col min="16" max="16" width="12.8515625" style="18" hidden="1" customWidth="1"/>
    <col min="17" max="17" width="10.7109375" style="18" hidden="1" customWidth="1"/>
    <col min="18" max="18" width="11.421875" style="18" customWidth="1"/>
    <col min="19" max="19" width="32.421875" style="18" customWidth="1"/>
    <col min="20" max="20" width="13.8515625" style="18" customWidth="1"/>
    <col min="21" max="21" width="16.00390625" style="18" customWidth="1"/>
    <col min="22" max="16384" width="9.140625" style="18" customWidth="1"/>
  </cols>
  <sheetData>
    <row r="1" spans="2:13" ht="25.5" customHeight="1" hidden="1">
      <c r="B1" s="17" t="s">
        <v>20</v>
      </c>
      <c r="C1" s="17" t="s">
        <v>66</v>
      </c>
      <c r="D1" s="17" t="s">
        <v>67</v>
      </c>
      <c r="E1" s="17"/>
      <c r="F1" s="17" t="s">
        <v>6</v>
      </c>
      <c r="G1" s="17" t="s">
        <v>6</v>
      </c>
      <c r="H1" s="17" t="s">
        <v>6</v>
      </c>
      <c r="I1" s="17"/>
      <c r="J1" s="17"/>
      <c r="K1" s="17"/>
      <c r="L1" s="17"/>
      <c r="M1" s="17"/>
    </row>
    <row r="2" spans="2:13" ht="38.25" customHeight="1" hidden="1">
      <c r="B2" s="19" t="s">
        <v>374</v>
      </c>
      <c r="C2" s="20">
        <v>3</v>
      </c>
      <c r="D2" s="21" t="s">
        <v>282</v>
      </c>
      <c r="E2" s="21" t="s">
        <v>155</v>
      </c>
      <c r="F2" s="21" t="s">
        <v>2</v>
      </c>
      <c r="G2" s="21" t="s">
        <v>309</v>
      </c>
      <c r="H2" s="21" t="s">
        <v>310</v>
      </c>
      <c r="I2" s="21"/>
      <c r="J2" s="21"/>
      <c r="K2" s="21"/>
      <c r="L2" s="21"/>
      <c r="M2" s="21"/>
    </row>
    <row r="3" spans="2:13" ht="38.25" customHeight="1" hidden="1">
      <c r="B3" s="19" t="s">
        <v>375</v>
      </c>
      <c r="C3" s="20">
        <v>5</v>
      </c>
      <c r="D3" s="21" t="s">
        <v>282</v>
      </c>
      <c r="E3" s="21" t="s">
        <v>155</v>
      </c>
      <c r="F3" s="21" t="s">
        <v>2</v>
      </c>
      <c r="G3" s="21" t="s">
        <v>309</v>
      </c>
      <c r="H3" s="21" t="s">
        <v>310</v>
      </c>
      <c r="I3" s="21"/>
      <c r="J3" s="21"/>
      <c r="K3" s="21"/>
      <c r="L3" s="21"/>
      <c r="M3" s="21"/>
    </row>
    <row r="4" spans="2:13" ht="42.75" hidden="1">
      <c r="B4" s="20" t="s">
        <v>114</v>
      </c>
      <c r="C4" s="20">
        <v>1</v>
      </c>
      <c r="D4" s="21" t="s">
        <v>314</v>
      </c>
      <c r="E4" s="21" t="s">
        <v>150</v>
      </c>
      <c r="F4" s="21" t="s">
        <v>2</v>
      </c>
      <c r="G4" s="21" t="s">
        <v>309</v>
      </c>
      <c r="H4" s="21" t="s">
        <v>310</v>
      </c>
      <c r="I4" s="21"/>
      <c r="J4" s="21"/>
      <c r="K4" s="21"/>
      <c r="L4" s="21"/>
      <c r="M4" s="21"/>
    </row>
    <row r="5" spans="2:13" ht="12.75" customHeight="1" hidden="1">
      <c r="B5" s="20" t="s">
        <v>115</v>
      </c>
      <c r="C5" s="20">
        <v>2</v>
      </c>
      <c r="D5" s="21" t="s">
        <v>315</v>
      </c>
      <c r="E5" s="21" t="s">
        <v>276</v>
      </c>
      <c r="F5" s="21" t="s">
        <v>2</v>
      </c>
      <c r="G5" s="21" t="s">
        <v>309</v>
      </c>
      <c r="H5" s="21" t="s">
        <v>310</v>
      </c>
      <c r="I5" s="21"/>
      <c r="J5" s="21"/>
      <c r="K5" s="21"/>
      <c r="L5" s="21"/>
      <c r="M5" s="21"/>
    </row>
    <row r="6" spans="2:13" ht="25.5" customHeight="1" hidden="1">
      <c r="B6" s="20" t="s">
        <v>116</v>
      </c>
      <c r="C6" s="20">
        <v>15</v>
      </c>
      <c r="D6" s="21" t="s">
        <v>316</v>
      </c>
      <c r="E6" s="21" t="s">
        <v>99</v>
      </c>
      <c r="F6" s="21" t="s">
        <v>2</v>
      </c>
      <c r="G6" s="21" t="s">
        <v>309</v>
      </c>
      <c r="H6" s="21" t="s">
        <v>310</v>
      </c>
      <c r="I6" s="21"/>
      <c r="J6" s="21"/>
      <c r="K6" s="21"/>
      <c r="L6" s="21"/>
      <c r="M6" s="21"/>
    </row>
    <row r="7" spans="2:13" ht="12.75" customHeight="1" hidden="1">
      <c r="B7" s="20" t="s">
        <v>117</v>
      </c>
      <c r="C7" s="20">
        <v>1</v>
      </c>
      <c r="D7" s="21" t="s">
        <v>314</v>
      </c>
      <c r="E7" s="21" t="s">
        <v>151</v>
      </c>
      <c r="F7" s="21" t="s">
        <v>2</v>
      </c>
      <c r="G7" s="21" t="s">
        <v>309</v>
      </c>
      <c r="H7" s="21" t="s">
        <v>310</v>
      </c>
      <c r="I7" s="21"/>
      <c r="J7" s="21"/>
      <c r="K7" s="21"/>
      <c r="L7" s="21"/>
      <c r="M7" s="21"/>
    </row>
    <row r="8" spans="2:13" ht="25.5" customHeight="1" hidden="1">
      <c r="B8" s="20" t="s">
        <v>118</v>
      </c>
      <c r="C8" s="20">
        <v>6</v>
      </c>
      <c r="D8" s="21" t="s">
        <v>96</v>
      </c>
      <c r="E8" s="21" t="s">
        <v>99</v>
      </c>
      <c r="F8" s="21" t="s">
        <v>2</v>
      </c>
      <c r="G8" s="21" t="s">
        <v>309</v>
      </c>
      <c r="H8" s="21" t="s">
        <v>310</v>
      </c>
      <c r="I8" s="21"/>
      <c r="J8" s="21"/>
      <c r="K8" s="21"/>
      <c r="L8" s="21"/>
      <c r="M8" s="21"/>
    </row>
    <row r="9" spans="2:13" ht="25.5" customHeight="1" hidden="1">
      <c r="B9" s="20" t="s">
        <v>120</v>
      </c>
      <c r="C9" s="20">
        <v>1</v>
      </c>
      <c r="D9" s="21" t="s">
        <v>317</v>
      </c>
      <c r="E9" s="21" t="s">
        <v>99</v>
      </c>
      <c r="F9" s="21" t="s">
        <v>2</v>
      </c>
      <c r="G9" s="21" t="s">
        <v>309</v>
      </c>
      <c r="H9" s="21" t="s">
        <v>310</v>
      </c>
      <c r="I9" s="21"/>
      <c r="J9" s="21"/>
      <c r="K9" s="21"/>
      <c r="L9" s="21"/>
      <c r="M9" s="21"/>
    </row>
    <row r="10" spans="2:13" ht="25.5" customHeight="1" hidden="1">
      <c r="B10" s="20" t="s">
        <v>121</v>
      </c>
      <c r="C10" s="20">
        <v>1</v>
      </c>
      <c r="D10" s="21" t="s">
        <v>317</v>
      </c>
      <c r="E10" s="21" t="s">
        <v>99</v>
      </c>
      <c r="F10" s="21" t="s">
        <v>2</v>
      </c>
      <c r="G10" s="21" t="s">
        <v>309</v>
      </c>
      <c r="H10" s="21" t="s">
        <v>310</v>
      </c>
      <c r="I10" s="21"/>
      <c r="J10" s="21"/>
      <c r="K10" s="21"/>
      <c r="L10" s="21"/>
      <c r="M10" s="21"/>
    </row>
    <row r="11" spans="2:13" ht="25.5" customHeight="1" hidden="1">
      <c r="B11" s="20" t="s">
        <v>277</v>
      </c>
      <c r="C11" s="20">
        <v>2</v>
      </c>
      <c r="D11" s="21" t="s">
        <v>318</v>
      </c>
      <c r="E11" s="21" t="s">
        <v>99</v>
      </c>
      <c r="F11" s="21" t="s">
        <v>15</v>
      </c>
      <c r="G11" s="21" t="s">
        <v>309</v>
      </c>
      <c r="H11" s="21" t="s">
        <v>310</v>
      </c>
      <c r="I11" s="21"/>
      <c r="J11" s="21"/>
      <c r="K11" s="21"/>
      <c r="L11" s="21"/>
      <c r="M11" s="21"/>
    </row>
    <row r="12" spans="2:13" ht="25.5" customHeight="1" hidden="1">
      <c r="B12" s="20" t="s">
        <v>278</v>
      </c>
      <c r="C12" s="20">
        <v>1</v>
      </c>
      <c r="D12" s="21" t="s">
        <v>318</v>
      </c>
      <c r="E12" s="21" t="s">
        <v>99</v>
      </c>
      <c r="F12" s="21" t="s">
        <v>15</v>
      </c>
      <c r="G12" s="21" t="s">
        <v>309</v>
      </c>
      <c r="H12" s="21" t="s">
        <v>310</v>
      </c>
      <c r="I12" s="21"/>
      <c r="J12" s="21"/>
      <c r="K12" s="21"/>
      <c r="L12" s="21"/>
      <c r="M12" s="21"/>
    </row>
    <row r="13" spans="2:13" ht="12.75" customHeight="1" hidden="1">
      <c r="B13" s="20" t="s">
        <v>279</v>
      </c>
      <c r="C13" s="20">
        <v>1</v>
      </c>
      <c r="D13" s="21" t="s">
        <v>252</v>
      </c>
      <c r="E13" s="21" t="s">
        <v>276</v>
      </c>
      <c r="F13" s="21" t="s">
        <v>15</v>
      </c>
      <c r="G13" s="21" t="s">
        <v>309</v>
      </c>
      <c r="H13" s="21" t="s">
        <v>310</v>
      </c>
      <c r="I13" s="21"/>
      <c r="J13" s="21"/>
      <c r="K13" s="21"/>
      <c r="L13" s="21"/>
      <c r="M13" s="21"/>
    </row>
    <row r="14" spans="2:13" ht="25.5" customHeight="1" hidden="1">
      <c r="B14" s="20" t="s">
        <v>122</v>
      </c>
      <c r="C14" s="20">
        <v>1</v>
      </c>
      <c r="D14" s="21" t="s">
        <v>314</v>
      </c>
      <c r="E14" s="21" t="s">
        <v>99</v>
      </c>
      <c r="F14" s="21" t="s">
        <v>2</v>
      </c>
      <c r="G14" s="21" t="s">
        <v>309</v>
      </c>
      <c r="H14" s="21" t="s">
        <v>310</v>
      </c>
      <c r="I14" s="21"/>
      <c r="J14" s="21"/>
      <c r="K14" s="21"/>
      <c r="L14" s="21"/>
      <c r="M14" s="21"/>
    </row>
    <row r="15" spans="2:13" ht="25.5" customHeight="1" hidden="1">
      <c r="B15" s="74" t="s">
        <v>529</v>
      </c>
      <c r="C15" s="20">
        <v>1</v>
      </c>
      <c r="D15" s="21" t="s">
        <v>318</v>
      </c>
      <c r="E15" s="21" t="s">
        <v>99</v>
      </c>
      <c r="F15" s="21" t="s">
        <v>2</v>
      </c>
      <c r="G15" s="21" t="s">
        <v>309</v>
      </c>
      <c r="H15" s="21" t="s">
        <v>310</v>
      </c>
      <c r="I15" s="21"/>
      <c r="J15" s="21"/>
      <c r="K15" s="21"/>
      <c r="L15" s="21"/>
      <c r="M15" s="21"/>
    </row>
    <row r="16" spans="2:13" ht="25.5" customHeight="1" hidden="1">
      <c r="B16" s="20" t="s">
        <v>123</v>
      </c>
      <c r="C16" s="20">
        <v>3</v>
      </c>
      <c r="D16" s="21" t="s">
        <v>318</v>
      </c>
      <c r="E16" s="21" t="s">
        <v>99</v>
      </c>
      <c r="F16" s="21" t="s">
        <v>2</v>
      </c>
      <c r="G16" s="21" t="s">
        <v>309</v>
      </c>
      <c r="H16" s="21" t="s">
        <v>310</v>
      </c>
      <c r="I16" s="21"/>
      <c r="J16" s="21"/>
      <c r="K16" s="21"/>
      <c r="L16" s="21"/>
      <c r="M16" s="21"/>
    </row>
    <row r="17" ht="14.25" hidden="1"/>
    <row r="18" spans="1:20" ht="24.75" customHeight="1">
      <c r="A18" s="319" t="s">
        <v>354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</row>
    <row r="19" spans="1:20" ht="12.75" customHeight="1">
      <c r="A19" s="22" t="s">
        <v>23</v>
      </c>
      <c r="B19" s="310" t="str">
        <f>ข้อมูลผู้กรอกและสรุปภาระงาน!B11</f>
        <v>ชื่ออาจารย์</v>
      </c>
      <c r="C19" s="310"/>
      <c r="D19" s="331" t="s">
        <v>4</v>
      </c>
      <c r="E19" s="332"/>
      <c r="F19" s="23">
        <f>SUM(P25:P741)+SUM(Q25:Q741)/26</f>
        <v>0</v>
      </c>
      <c r="G19" s="24"/>
      <c r="I19" s="24"/>
      <c r="J19" s="24"/>
      <c r="K19" s="24"/>
      <c r="L19" s="24"/>
      <c r="M19" s="24"/>
      <c r="N19" s="24"/>
      <c r="O19" s="24"/>
      <c r="P19" s="25"/>
      <c r="Q19" s="26"/>
      <c r="R19" s="26"/>
      <c r="S19" s="27"/>
      <c r="T19" s="28"/>
    </row>
    <row r="20" spans="1:20" ht="12.75" customHeight="1">
      <c r="A20" s="29" t="s">
        <v>22</v>
      </c>
      <c r="B20" s="310" t="str">
        <f>ข้อมูลผู้กรอกและสรุปภาระงาน!B12</f>
        <v>ชื่อภาควิชา</v>
      </c>
      <c r="C20" s="310"/>
      <c r="D20" s="333"/>
      <c r="E20" s="33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31"/>
      <c r="Q20" s="31"/>
      <c r="R20" s="31"/>
      <c r="S20" s="27"/>
      <c r="T20" s="28"/>
    </row>
    <row r="21" spans="1:20" ht="12.75" customHeight="1">
      <c r="A21" s="29" t="s">
        <v>153</v>
      </c>
      <c r="B21" s="310" t="str">
        <f>ข้อมูลผู้กรอกและสรุปภาระงาน!B16</f>
        <v>รอบที่ 2 เดือนกุมภาพันธ์ 2563 - กรกฎาคม 2563</v>
      </c>
      <c r="C21" s="310"/>
      <c r="D21" s="58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3"/>
      <c r="Q21" s="33"/>
      <c r="R21" s="33"/>
      <c r="S21" s="33"/>
      <c r="T21" s="28"/>
    </row>
    <row r="23" spans="1:20" s="39" customFormat="1" ht="12.75" customHeight="1">
      <c r="A23" s="320" t="s">
        <v>1</v>
      </c>
      <c r="B23" s="320" t="s">
        <v>337</v>
      </c>
      <c r="C23" s="312" t="s">
        <v>311</v>
      </c>
      <c r="D23" s="313"/>
      <c r="E23" s="313"/>
      <c r="F23" s="313"/>
      <c r="G23" s="313"/>
      <c r="H23" s="313"/>
      <c r="I23" s="313"/>
      <c r="J23" s="313"/>
      <c r="K23" s="313"/>
      <c r="L23" s="37"/>
      <c r="M23" s="37"/>
      <c r="N23" s="37"/>
      <c r="O23" s="37"/>
      <c r="P23" s="315" t="s">
        <v>7</v>
      </c>
      <c r="Q23" s="316"/>
      <c r="R23" s="312" t="s">
        <v>319</v>
      </c>
      <c r="S23" s="313"/>
      <c r="T23" s="314"/>
    </row>
    <row r="24" spans="1:20" s="39" customFormat="1" ht="30">
      <c r="A24" s="321"/>
      <c r="B24" s="321"/>
      <c r="C24" s="41" t="s">
        <v>7</v>
      </c>
      <c r="D24" s="312" t="s">
        <v>330</v>
      </c>
      <c r="E24" s="314"/>
      <c r="F24" s="312" t="s">
        <v>307</v>
      </c>
      <c r="G24" s="314"/>
      <c r="H24" s="312" t="s">
        <v>312</v>
      </c>
      <c r="I24" s="314"/>
      <c r="J24" s="312" t="s">
        <v>244</v>
      </c>
      <c r="K24" s="314"/>
      <c r="L24" s="38"/>
      <c r="M24" s="38"/>
      <c r="N24" s="38"/>
      <c r="O24" s="38" t="s">
        <v>2</v>
      </c>
      <c r="P24" s="42" t="s">
        <v>16</v>
      </c>
      <c r="Q24" s="43" t="s">
        <v>17</v>
      </c>
      <c r="R24" s="312" t="s">
        <v>5</v>
      </c>
      <c r="S24" s="314"/>
      <c r="T24" s="42" t="s">
        <v>3</v>
      </c>
    </row>
    <row r="25" spans="1:20" ht="28.5">
      <c r="A25" s="44"/>
      <c r="B25" s="45" t="s">
        <v>277</v>
      </c>
      <c r="C25" s="46">
        <f>VLOOKUP(B25,$B$2:$O$17,2,FALSE)</f>
        <v>2</v>
      </c>
      <c r="D25" s="47" t="str">
        <f>VLOOKUP(B25,$B$2:$M$16,3,FALSE)</f>
        <v>ระบุจำนวนโครงการ</v>
      </c>
      <c r="E25" s="48">
        <v>0</v>
      </c>
      <c r="F25" s="47" t="s">
        <v>376</v>
      </c>
      <c r="G25" s="49">
        <v>1</v>
      </c>
      <c r="H25" s="50" t="str">
        <f>VLOOKUP(B25,$B$2:$O$17,6,FALSE)</f>
        <v>เลือกรายการไม่ต้องระบุเวลา</v>
      </c>
      <c r="I25" s="51" t="s">
        <v>308</v>
      </c>
      <c r="J25" s="50" t="str">
        <f>VLOOKUP(B25,$B$2:$O$17,7,FALSE)</f>
        <v>ไม่ต้องระบุจำนวนนิสิต</v>
      </c>
      <c r="K25" s="48"/>
      <c r="L25" s="50">
        <f>VLOOKUP(B25,$B$2:$O$17,8,FALSE)</f>
        <v>0</v>
      </c>
      <c r="M25" s="50">
        <f>VLOOKUP(B25,$B$2:$O$17,9,FALSE)</f>
        <v>0</v>
      </c>
      <c r="N25" s="52">
        <f>IF(AND(H25="ระบุการสอนในเวลาหรือนอกเวลา",M25&lt;&gt;"",K25&gt;M25,J25="ระบุจำนวนนิสิต"),C25+(K25-M25)/M25,C25)</f>
        <v>2</v>
      </c>
      <c r="O25" s="53" t="str">
        <f>VLOOKUP(B25,$B$2:$O$17,5,FALSE)</f>
        <v>ต่อสัปดาห์</v>
      </c>
      <c r="P25" s="54">
        <f>IF(AND(O25="ต่อสัปดาห์",I25="นอกเวลาราชการ",H25&lt;&gt;0),(N25+1)*E25/G25,IF(O25="ต่อสัปดาห์",E25*N25/G25,""))</f>
        <v>0</v>
      </c>
      <c r="Q25" s="54">
        <f>IF(O25="ภาระงาน",E25*C25/G25,"")</f>
      </c>
      <c r="R25" s="53" t="str">
        <f>VLOOKUP(B25,$B$2:$O$17,4,FALSE)</f>
        <v>ระบุรายละเอียด</v>
      </c>
      <c r="S25" s="55"/>
      <c r="T25" s="55"/>
    </row>
  </sheetData>
  <sheetProtection formatCells="0" formatColumns="0" formatRows="0" insertColumns="0" insertRows="0" insertHyperlinks="0" deleteColumns="0" deleteRows="0" sort="0" autoFilter="0" pivotTables="0"/>
  <protectedRanges>
    <protectedRange sqref="A25:T92" name="ช่วง1"/>
  </protectedRanges>
  <mergeCells count="16">
    <mergeCell ref="R23:T23"/>
    <mergeCell ref="C23:K23"/>
    <mergeCell ref="P23:Q23"/>
    <mergeCell ref="A23:A24"/>
    <mergeCell ref="B23:B24"/>
    <mergeCell ref="D24:E24"/>
    <mergeCell ref="R24:S24"/>
    <mergeCell ref="F24:G24"/>
    <mergeCell ref="H24:I24"/>
    <mergeCell ref="J24:K24"/>
    <mergeCell ref="B21:C21"/>
    <mergeCell ref="A18:T18"/>
    <mergeCell ref="B19:C19"/>
    <mergeCell ref="D19:E19"/>
    <mergeCell ref="B20:C20"/>
    <mergeCell ref="D20:E20"/>
  </mergeCells>
  <conditionalFormatting sqref="J25">
    <cfRule type="cellIs" priority="7" dxfId="0" operator="equal" stopIfTrue="1">
      <formula>"ระบุจำนวนนิสิต"</formula>
    </cfRule>
  </conditionalFormatting>
  <dataValidations count="2">
    <dataValidation type="list" allowBlank="1" showInputMessage="1" showErrorMessage="1" sqref="B25">
      <formula1>INDIRECT(ภาระงานการสอน)</formula1>
    </dataValidation>
    <dataValidation type="list" allowBlank="1" showInputMessage="1" showErrorMessage="1" sqref="I25">
      <formula1>INDIRECT(ในเวลาราชการ)</formula1>
    </dataValidation>
  </dataValidations>
  <printOptions/>
  <pageMargins left="0.1968503937007874" right="0.1968503937007874" top="0.4724409448818898" bottom="0.31496062992125984" header="0.15748031496062992" footer="0.15748031496062992"/>
  <pageSetup fitToHeight="5" fitToWidth="1" horizontalDpi="300" verticalDpi="300" orientation="landscape" paperSize="9" scale="95" r:id="rId1"/>
  <headerFooter alignWithMargins="0">
    <oddFooter>&amp;L&amp;Z&amp;F : แผ่นงาน ; 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39"/>
  <sheetViews>
    <sheetView zoomScale="115" zoomScaleNormal="115" zoomScalePageLayoutView="0" workbookViewId="0" topLeftCell="A32">
      <selection activeCell="E39" sqref="E39"/>
    </sheetView>
  </sheetViews>
  <sheetFormatPr defaultColWidth="9.140625" defaultRowHeight="12.75"/>
  <cols>
    <col min="1" max="1" width="11.8515625" style="18" customWidth="1"/>
    <col min="2" max="2" width="42.140625" style="18" customWidth="1"/>
    <col min="3" max="3" width="10.7109375" style="18" hidden="1" customWidth="1"/>
    <col min="4" max="4" width="15.7109375" style="18" customWidth="1"/>
    <col min="5" max="5" width="6.8515625" style="18" customWidth="1"/>
    <col min="6" max="6" width="21.57421875" style="18" hidden="1" customWidth="1"/>
    <col min="7" max="15" width="10.7109375" style="18" hidden="1" customWidth="1"/>
    <col min="16" max="16" width="13.00390625" style="18" customWidth="1"/>
    <col min="17" max="17" width="29.8515625" style="18" customWidth="1"/>
    <col min="18" max="18" width="19.00390625" style="18" customWidth="1"/>
    <col min="19" max="19" width="16.00390625" style="18" customWidth="1"/>
    <col min="20" max="16384" width="9.140625" style="18" customWidth="1"/>
  </cols>
  <sheetData>
    <row r="1" spans="2:13" ht="14.25" hidden="1">
      <c r="B1" s="17" t="s">
        <v>20</v>
      </c>
      <c r="C1" s="17" t="s">
        <v>66</v>
      </c>
      <c r="D1" s="17" t="s">
        <v>67</v>
      </c>
      <c r="E1" s="17"/>
      <c r="F1" s="17" t="s">
        <v>6</v>
      </c>
      <c r="G1" s="17" t="s">
        <v>6</v>
      </c>
      <c r="H1" s="17" t="s">
        <v>6</v>
      </c>
      <c r="I1" s="17"/>
      <c r="J1" s="17"/>
      <c r="K1" s="17"/>
      <c r="L1" s="17"/>
      <c r="M1" s="17"/>
    </row>
    <row r="2" spans="2:13" ht="14.25" hidden="1">
      <c r="B2" s="20" t="s">
        <v>124</v>
      </c>
      <c r="C2" s="20">
        <v>2</v>
      </c>
      <c r="D2" s="21" t="s">
        <v>317</v>
      </c>
      <c r="E2" s="21" t="s">
        <v>152</v>
      </c>
      <c r="F2" s="21" t="s">
        <v>15</v>
      </c>
      <c r="G2" s="21"/>
      <c r="H2" s="21"/>
      <c r="I2" s="21"/>
      <c r="J2" s="21"/>
      <c r="K2" s="21"/>
      <c r="L2" s="21"/>
      <c r="M2" s="21"/>
    </row>
    <row r="3" spans="2:13" ht="14.25" hidden="1">
      <c r="B3" s="20" t="s">
        <v>125</v>
      </c>
      <c r="C3" s="20">
        <v>1</v>
      </c>
      <c r="D3" s="21" t="s">
        <v>317</v>
      </c>
      <c r="E3" s="21" t="s">
        <v>152</v>
      </c>
      <c r="F3" s="21" t="s">
        <v>15</v>
      </c>
      <c r="G3" s="21"/>
      <c r="H3" s="21"/>
      <c r="I3" s="21"/>
      <c r="J3" s="21"/>
      <c r="K3" s="21"/>
      <c r="L3" s="21"/>
      <c r="M3" s="21"/>
    </row>
    <row r="4" spans="2:13" ht="14.25" hidden="1">
      <c r="B4" s="20" t="s">
        <v>126</v>
      </c>
      <c r="C4" s="20">
        <v>2</v>
      </c>
      <c r="D4" s="21" t="s">
        <v>317</v>
      </c>
      <c r="E4" s="21" t="s">
        <v>152</v>
      </c>
      <c r="F4" s="21" t="s">
        <v>15</v>
      </c>
      <c r="G4" s="21"/>
      <c r="H4" s="21"/>
      <c r="I4" s="21"/>
      <c r="J4" s="21"/>
      <c r="K4" s="21"/>
      <c r="L4" s="21"/>
      <c r="M4" s="21"/>
    </row>
    <row r="5" spans="2:13" ht="14.25" hidden="1">
      <c r="B5" s="20" t="s">
        <v>127</v>
      </c>
      <c r="C5" s="20">
        <v>1</v>
      </c>
      <c r="D5" s="21" t="s">
        <v>317</v>
      </c>
      <c r="E5" s="21" t="s">
        <v>152</v>
      </c>
      <c r="F5" s="21" t="s">
        <v>15</v>
      </c>
      <c r="G5" s="21"/>
      <c r="H5" s="21"/>
      <c r="I5" s="21"/>
      <c r="J5" s="21"/>
      <c r="K5" s="21"/>
      <c r="L5" s="21"/>
      <c r="M5" s="21"/>
    </row>
    <row r="6" spans="2:13" ht="14.25" hidden="1">
      <c r="B6" s="20" t="s">
        <v>128</v>
      </c>
      <c r="C6" s="20">
        <v>3</v>
      </c>
      <c r="D6" s="21" t="s">
        <v>317</v>
      </c>
      <c r="E6" s="21" t="s">
        <v>152</v>
      </c>
      <c r="F6" s="21" t="s">
        <v>15</v>
      </c>
      <c r="G6" s="21"/>
      <c r="H6" s="21"/>
      <c r="I6" s="21"/>
      <c r="J6" s="21"/>
      <c r="K6" s="21"/>
      <c r="L6" s="21"/>
      <c r="M6" s="21"/>
    </row>
    <row r="7" spans="2:13" ht="14.25" hidden="1">
      <c r="B7" s="20" t="s">
        <v>129</v>
      </c>
      <c r="C7" s="20">
        <v>1.5</v>
      </c>
      <c r="D7" s="21" t="s">
        <v>317</v>
      </c>
      <c r="E7" s="21" t="s">
        <v>152</v>
      </c>
      <c r="F7" s="21" t="s">
        <v>15</v>
      </c>
      <c r="G7" s="21"/>
      <c r="H7" s="21"/>
      <c r="I7" s="21"/>
      <c r="J7" s="21"/>
      <c r="K7" s="21"/>
      <c r="L7" s="21"/>
      <c r="M7" s="21"/>
    </row>
    <row r="8" spans="2:13" ht="14.25" hidden="1">
      <c r="B8" s="20" t="s">
        <v>130</v>
      </c>
      <c r="C8" s="20">
        <v>3</v>
      </c>
      <c r="D8" s="21" t="s">
        <v>317</v>
      </c>
      <c r="E8" s="21" t="s">
        <v>152</v>
      </c>
      <c r="F8" s="21" t="s">
        <v>15</v>
      </c>
      <c r="G8" s="21"/>
      <c r="H8" s="21"/>
      <c r="I8" s="21"/>
      <c r="J8" s="21"/>
      <c r="K8" s="21"/>
      <c r="L8" s="21"/>
      <c r="M8" s="21"/>
    </row>
    <row r="9" spans="2:13" ht="14.25" hidden="1">
      <c r="B9" s="20" t="s">
        <v>131</v>
      </c>
      <c r="C9" s="20">
        <v>1.5</v>
      </c>
      <c r="D9" s="21" t="s">
        <v>317</v>
      </c>
      <c r="E9" s="21" t="s">
        <v>152</v>
      </c>
      <c r="F9" s="21" t="s">
        <v>15</v>
      </c>
      <c r="G9" s="21"/>
      <c r="H9" s="21"/>
      <c r="I9" s="21"/>
      <c r="J9" s="21"/>
      <c r="K9" s="21"/>
      <c r="L9" s="21"/>
      <c r="M9" s="21"/>
    </row>
    <row r="10" spans="2:13" ht="14.25" hidden="1">
      <c r="B10" s="20" t="s">
        <v>132</v>
      </c>
      <c r="C10" s="20">
        <v>3</v>
      </c>
      <c r="D10" s="21" t="s">
        <v>317</v>
      </c>
      <c r="E10" s="21" t="s">
        <v>152</v>
      </c>
      <c r="F10" s="21" t="s">
        <v>2</v>
      </c>
      <c r="G10" s="21"/>
      <c r="H10" s="21"/>
      <c r="I10" s="21"/>
      <c r="J10" s="21"/>
      <c r="K10" s="21"/>
      <c r="L10" s="21"/>
      <c r="M10" s="21"/>
    </row>
    <row r="11" spans="2:13" ht="14.25" hidden="1">
      <c r="B11" s="20" t="s">
        <v>133</v>
      </c>
      <c r="C11" s="20">
        <v>4</v>
      </c>
      <c r="D11" s="21" t="s">
        <v>317</v>
      </c>
      <c r="E11" s="21" t="s">
        <v>152</v>
      </c>
      <c r="F11" s="21" t="s">
        <v>2</v>
      </c>
      <c r="G11" s="21"/>
      <c r="H11" s="21"/>
      <c r="I11" s="21"/>
      <c r="J11" s="21"/>
      <c r="K11" s="21"/>
      <c r="L11" s="21"/>
      <c r="M11" s="21"/>
    </row>
    <row r="12" spans="2:13" ht="14.25" hidden="1">
      <c r="B12" s="20" t="s">
        <v>134</v>
      </c>
      <c r="C12" s="20">
        <v>10</v>
      </c>
      <c r="D12" s="21" t="s">
        <v>317</v>
      </c>
      <c r="E12" s="21" t="s">
        <v>152</v>
      </c>
      <c r="F12" s="21" t="s">
        <v>2</v>
      </c>
      <c r="G12" s="21"/>
      <c r="H12" s="21"/>
      <c r="I12" s="21"/>
      <c r="J12" s="21"/>
      <c r="K12" s="21"/>
      <c r="L12" s="21"/>
      <c r="M12" s="21"/>
    </row>
    <row r="13" spans="2:13" ht="14.25" hidden="1">
      <c r="B13" s="20" t="s">
        <v>135</v>
      </c>
      <c r="C13" s="20">
        <v>12</v>
      </c>
      <c r="D13" s="21" t="s">
        <v>317</v>
      </c>
      <c r="E13" s="21" t="s">
        <v>152</v>
      </c>
      <c r="F13" s="21" t="s">
        <v>2</v>
      </c>
      <c r="G13" s="21"/>
      <c r="H13" s="21"/>
      <c r="I13" s="21"/>
      <c r="J13" s="21"/>
      <c r="K13" s="21"/>
      <c r="L13" s="21"/>
      <c r="M13" s="21"/>
    </row>
    <row r="14" spans="2:13" ht="14.25" hidden="1">
      <c r="B14" s="20" t="s">
        <v>136</v>
      </c>
      <c r="C14" s="20">
        <v>1</v>
      </c>
      <c r="D14" s="21" t="s">
        <v>317</v>
      </c>
      <c r="E14" s="21" t="s">
        <v>152</v>
      </c>
      <c r="F14" s="21" t="s">
        <v>15</v>
      </c>
      <c r="G14" s="21"/>
      <c r="H14" s="21"/>
      <c r="I14" s="21"/>
      <c r="J14" s="21"/>
      <c r="K14" s="21"/>
      <c r="L14" s="21"/>
      <c r="M14" s="21"/>
    </row>
    <row r="15" spans="2:13" ht="16.5" hidden="1">
      <c r="B15" s="74" t="s">
        <v>529</v>
      </c>
      <c r="C15" s="20">
        <v>6</v>
      </c>
      <c r="D15" s="21" t="s">
        <v>317</v>
      </c>
      <c r="E15" s="21" t="s">
        <v>152</v>
      </c>
      <c r="F15" s="21" t="s">
        <v>2</v>
      </c>
      <c r="G15" s="21"/>
      <c r="H15" s="21"/>
      <c r="I15" s="21"/>
      <c r="J15" s="21"/>
      <c r="K15" s="21"/>
      <c r="L15" s="21"/>
      <c r="M15" s="21"/>
    </row>
    <row r="16" spans="2:13" ht="14.25" hidden="1">
      <c r="B16" s="20" t="s">
        <v>137</v>
      </c>
      <c r="C16" s="20">
        <v>2</v>
      </c>
      <c r="D16" s="21" t="s">
        <v>315</v>
      </c>
      <c r="E16" s="21" t="s">
        <v>152</v>
      </c>
      <c r="F16" s="21" t="s">
        <v>2</v>
      </c>
      <c r="G16" s="21"/>
      <c r="H16" s="21"/>
      <c r="I16" s="21"/>
      <c r="J16" s="21"/>
      <c r="K16" s="21"/>
      <c r="L16" s="21"/>
      <c r="M16" s="21"/>
    </row>
    <row r="17" spans="2:13" ht="14.25" hidden="1">
      <c r="B17" s="20" t="s">
        <v>138</v>
      </c>
      <c r="C17" s="20">
        <v>3</v>
      </c>
      <c r="D17" s="21" t="s">
        <v>315</v>
      </c>
      <c r="E17" s="21" t="s">
        <v>152</v>
      </c>
      <c r="F17" s="21" t="s">
        <v>2</v>
      </c>
      <c r="G17" s="21"/>
      <c r="H17" s="21"/>
      <c r="I17" s="21"/>
      <c r="J17" s="21"/>
      <c r="K17" s="21"/>
      <c r="L17" s="21"/>
      <c r="M17" s="21"/>
    </row>
    <row r="18" spans="2:13" ht="28.5" hidden="1">
      <c r="B18" s="20" t="s">
        <v>139</v>
      </c>
      <c r="C18" s="20">
        <v>2</v>
      </c>
      <c r="D18" s="21" t="s">
        <v>316</v>
      </c>
      <c r="E18" s="21" t="s">
        <v>99</v>
      </c>
      <c r="F18" s="21" t="s">
        <v>15</v>
      </c>
      <c r="G18" s="21"/>
      <c r="H18" s="21"/>
      <c r="I18" s="21"/>
      <c r="J18" s="21"/>
      <c r="K18" s="21"/>
      <c r="L18" s="21"/>
      <c r="M18" s="21"/>
    </row>
    <row r="19" spans="2:13" ht="28.5" hidden="1">
      <c r="B19" s="20" t="s">
        <v>280</v>
      </c>
      <c r="C19" s="20">
        <v>2</v>
      </c>
      <c r="D19" s="21" t="s">
        <v>321</v>
      </c>
      <c r="E19" s="21" t="s">
        <v>99</v>
      </c>
      <c r="F19" s="21" t="s">
        <v>15</v>
      </c>
      <c r="G19" s="21"/>
      <c r="H19" s="21"/>
      <c r="I19" s="21"/>
      <c r="J19" s="21"/>
      <c r="K19" s="21"/>
      <c r="L19" s="21"/>
      <c r="M19" s="21"/>
    </row>
    <row r="20" spans="2:13" ht="28.5" hidden="1">
      <c r="B20" s="20" t="s">
        <v>140</v>
      </c>
      <c r="C20" s="20">
        <v>2</v>
      </c>
      <c r="D20" s="21" t="s">
        <v>316</v>
      </c>
      <c r="E20" s="21" t="s">
        <v>99</v>
      </c>
      <c r="F20" s="21" t="s">
        <v>15</v>
      </c>
      <c r="G20" s="21"/>
      <c r="H20" s="21"/>
      <c r="I20" s="21"/>
      <c r="J20" s="21"/>
      <c r="K20" s="21"/>
      <c r="L20" s="21"/>
      <c r="M20" s="21"/>
    </row>
    <row r="21" spans="2:13" ht="28.5" hidden="1">
      <c r="B21" s="20" t="s">
        <v>281</v>
      </c>
      <c r="C21" s="20">
        <v>1</v>
      </c>
      <c r="D21" s="21" t="s">
        <v>322</v>
      </c>
      <c r="E21" s="21" t="s">
        <v>99</v>
      </c>
      <c r="F21" s="21" t="s">
        <v>15</v>
      </c>
      <c r="G21" s="21"/>
      <c r="H21" s="21"/>
      <c r="I21" s="21"/>
      <c r="J21" s="21"/>
      <c r="K21" s="21"/>
      <c r="L21" s="21"/>
      <c r="M21" s="21"/>
    </row>
    <row r="22" spans="2:13" ht="28.5" hidden="1">
      <c r="B22" s="20" t="s">
        <v>142</v>
      </c>
      <c r="C22" s="20">
        <v>10</v>
      </c>
      <c r="D22" s="21" t="s">
        <v>317</v>
      </c>
      <c r="E22" s="21" t="s">
        <v>99</v>
      </c>
      <c r="F22" s="21" t="s">
        <v>2</v>
      </c>
      <c r="G22" s="21"/>
      <c r="H22" s="21"/>
      <c r="I22" s="21"/>
      <c r="J22" s="21"/>
      <c r="K22" s="21"/>
      <c r="L22" s="21"/>
      <c r="M22" s="21"/>
    </row>
    <row r="23" spans="2:13" ht="28.5" hidden="1">
      <c r="B23" s="20" t="s">
        <v>141</v>
      </c>
      <c r="C23" s="20">
        <v>5</v>
      </c>
      <c r="D23" s="21" t="s">
        <v>322</v>
      </c>
      <c r="E23" s="21" t="s">
        <v>99</v>
      </c>
      <c r="F23" s="21" t="s">
        <v>2</v>
      </c>
      <c r="G23" s="21"/>
      <c r="H23" s="21"/>
      <c r="I23" s="21"/>
      <c r="J23" s="21"/>
      <c r="K23" s="21"/>
      <c r="L23" s="21"/>
      <c r="M23" s="21"/>
    </row>
    <row r="24" spans="2:13" ht="28.5" hidden="1">
      <c r="B24" s="20" t="s">
        <v>143</v>
      </c>
      <c r="C24" s="20">
        <v>15</v>
      </c>
      <c r="D24" s="21" t="s">
        <v>322</v>
      </c>
      <c r="E24" s="21" t="s">
        <v>99</v>
      </c>
      <c r="F24" s="21" t="s">
        <v>2</v>
      </c>
      <c r="G24" s="21"/>
      <c r="H24" s="21"/>
      <c r="I24" s="21"/>
      <c r="J24" s="21"/>
      <c r="K24" s="21"/>
      <c r="L24" s="21"/>
      <c r="M24" s="21"/>
    </row>
    <row r="25" spans="2:13" ht="28.5" hidden="1">
      <c r="B25" s="20" t="s">
        <v>144</v>
      </c>
      <c r="C25" s="20">
        <v>50</v>
      </c>
      <c r="D25" s="21" t="s">
        <v>323</v>
      </c>
      <c r="E25" s="21" t="s">
        <v>99</v>
      </c>
      <c r="F25" s="21" t="s">
        <v>2</v>
      </c>
      <c r="G25" s="21"/>
      <c r="H25" s="21"/>
      <c r="I25" s="21"/>
      <c r="J25" s="21"/>
      <c r="K25" s="21"/>
      <c r="L25" s="21"/>
      <c r="M25" s="21"/>
    </row>
    <row r="26" spans="2:13" ht="28.5" hidden="1">
      <c r="B26" s="20" t="s">
        <v>145</v>
      </c>
      <c r="C26" s="20">
        <v>20</v>
      </c>
      <c r="D26" s="21" t="s">
        <v>317</v>
      </c>
      <c r="E26" s="21" t="s">
        <v>99</v>
      </c>
      <c r="F26" s="21" t="s">
        <v>2</v>
      </c>
      <c r="G26" s="21"/>
      <c r="H26" s="21"/>
      <c r="I26" s="21"/>
      <c r="J26" s="21"/>
      <c r="K26" s="21"/>
      <c r="L26" s="21"/>
      <c r="M26" s="21"/>
    </row>
    <row r="27" spans="2:13" ht="28.5" hidden="1">
      <c r="B27" s="20" t="s">
        <v>146</v>
      </c>
      <c r="C27" s="20">
        <v>20</v>
      </c>
      <c r="D27" s="21" t="s">
        <v>317</v>
      </c>
      <c r="E27" s="21" t="s">
        <v>99</v>
      </c>
      <c r="F27" s="21" t="s">
        <v>2</v>
      </c>
      <c r="G27" s="21"/>
      <c r="H27" s="21"/>
      <c r="I27" s="21"/>
      <c r="J27" s="21"/>
      <c r="K27" s="21"/>
      <c r="L27" s="21"/>
      <c r="M27" s="21"/>
    </row>
    <row r="28" spans="2:13" ht="28.5" hidden="1">
      <c r="B28" s="20" t="s">
        <v>147</v>
      </c>
      <c r="C28" s="20">
        <v>20</v>
      </c>
      <c r="D28" s="21" t="s">
        <v>317</v>
      </c>
      <c r="E28" s="21" t="s">
        <v>99</v>
      </c>
      <c r="F28" s="21" t="s">
        <v>2</v>
      </c>
      <c r="G28" s="21"/>
      <c r="H28" s="21"/>
      <c r="I28" s="21"/>
      <c r="J28" s="21"/>
      <c r="K28" s="21"/>
      <c r="L28" s="21"/>
      <c r="M28" s="21"/>
    </row>
    <row r="29" spans="2:13" ht="28.5" hidden="1">
      <c r="B29" s="20" t="s">
        <v>148</v>
      </c>
      <c r="C29" s="20">
        <v>20</v>
      </c>
      <c r="D29" s="21" t="s">
        <v>318</v>
      </c>
      <c r="E29" s="21" t="s">
        <v>99</v>
      </c>
      <c r="F29" s="21" t="s">
        <v>2</v>
      </c>
      <c r="G29" s="21"/>
      <c r="H29" s="21"/>
      <c r="I29" s="21"/>
      <c r="J29" s="21"/>
      <c r="K29" s="21"/>
      <c r="L29" s="21"/>
      <c r="M29" s="21"/>
    </row>
    <row r="30" spans="2:13" ht="28.5" hidden="1">
      <c r="B30" s="20" t="s">
        <v>149</v>
      </c>
      <c r="C30" s="20">
        <v>1</v>
      </c>
      <c r="D30" s="21" t="s">
        <v>314</v>
      </c>
      <c r="E30" s="21" t="s">
        <v>99</v>
      </c>
      <c r="F30" s="21" t="s">
        <v>2</v>
      </c>
      <c r="G30" s="21"/>
      <c r="H30" s="21"/>
      <c r="I30" s="21"/>
      <c r="J30" s="21"/>
      <c r="K30" s="21"/>
      <c r="L30" s="21"/>
      <c r="M30" s="21"/>
    </row>
    <row r="31" ht="14.25" hidden="1"/>
    <row r="32" spans="1:18" ht="25.5" customHeight="1">
      <c r="A32" s="319" t="s">
        <v>320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</row>
    <row r="33" spans="1:18" ht="12.75" customHeight="1">
      <c r="A33" s="22" t="s">
        <v>23</v>
      </c>
      <c r="B33" s="310" t="str">
        <f>ข้อมูลผู้กรอกและสรุปภาระงาน!B11</f>
        <v>ชื่ออาจารย์</v>
      </c>
      <c r="C33" s="310"/>
      <c r="D33" s="331" t="s">
        <v>4</v>
      </c>
      <c r="E33" s="332"/>
      <c r="G33" s="24"/>
      <c r="H33" s="24"/>
      <c r="I33" s="24"/>
      <c r="J33" s="24"/>
      <c r="K33" s="24"/>
      <c r="L33" s="24"/>
      <c r="M33" s="24"/>
      <c r="O33" s="26"/>
      <c r="P33" s="59">
        <f>SUM(N39:N730)+SUM(O39:O730)/26</f>
        <v>0</v>
      </c>
      <c r="Q33" s="27"/>
      <c r="R33" s="28"/>
    </row>
    <row r="34" spans="1:18" ht="12.75" customHeight="1">
      <c r="A34" s="29" t="s">
        <v>22</v>
      </c>
      <c r="B34" s="310" t="str">
        <f>ข้อมูลผู้กรอกและสรุปภาระงาน!B12</f>
        <v>ชื่อภาควิชา</v>
      </c>
      <c r="C34" s="310"/>
      <c r="D34" s="333"/>
      <c r="E34" s="334"/>
      <c r="F34" s="24"/>
      <c r="G34" s="24"/>
      <c r="H34" s="24"/>
      <c r="I34" s="24"/>
      <c r="J34" s="24"/>
      <c r="K34" s="24"/>
      <c r="L34" s="24"/>
      <c r="M34" s="24"/>
      <c r="N34" s="31"/>
      <c r="O34" s="31"/>
      <c r="P34" s="31"/>
      <c r="Q34" s="27"/>
      <c r="R34" s="28"/>
    </row>
    <row r="35" spans="1:18" ht="12.75" customHeight="1">
      <c r="A35" s="29" t="s">
        <v>153</v>
      </c>
      <c r="B35" s="310" t="str">
        <f>ข้อมูลผู้กรอกและสรุปภาระงาน!B16</f>
        <v>รอบที่ 2 เดือนกุมภาพันธ์ 2563 - กรกฎาคม 2563</v>
      </c>
      <c r="C35" s="310"/>
      <c r="D35" s="58"/>
      <c r="E35" s="31"/>
      <c r="F35" s="31"/>
      <c r="G35" s="31"/>
      <c r="H35" s="31"/>
      <c r="I35" s="31"/>
      <c r="J35" s="31"/>
      <c r="K35" s="31"/>
      <c r="L35" s="31"/>
      <c r="M35" s="31"/>
      <c r="N35" s="33"/>
      <c r="O35" s="33"/>
      <c r="P35" s="33"/>
      <c r="Q35" s="33"/>
      <c r="R35" s="28"/>
    </row>
    <row r="37" spans="1:18" s="39" customFormat="1" ht="12.75" customHeight="1">
      <c r="A37" s="320" t="s">
        <v>1</v>
      </c>
      <c r="B37" s="320" t="s">
        <v>336</v>
      </c>
      <c r="C37" s="312" t="s">
        <v>311</v>
      </c>
      <c r="D37" s="313"/>
      <c r="E37" s="314"/>
      <c r="F37" s="60"/>
      <c r="G37" s="60"/>
      <c r="H37" s="60"/>
      <c r="I37" s="60"/>
      <c r="J37" s="60"/>
      <c r="K37" s="60"/>
      <c r="L37" s="60"/>
      <c r="M37" s="60"/>
      <c r="N37" s="315" t="s">
        <v>7</v>
      </c>
      <c r="O37" s="316"/>
      <c r="P37" s="312" t="s">
        <v>319</v>
      </c>
      <c r="Q37" s="313"/>
      <c r="R37" s="314"/>
    </row>
    <row r="38" spans="1:18" s="39" customFormat="1" ht="30">
      <c r="A38" s="321"/>
      <c r="B38" s="321"/>
      <c r="C38" s="41" t="s">
        <v>7</v>
      </c>
      <c r="D38" s="312" t="s">
        <v>330</v>
      </c>
      <c r="E38" s="314"/>
      <c r="F38" s="38"/>
      <c r="G38" s="38"/>
      <c r="H38" s="38"/>
      <c r="I38" s="38"/>
      <c r="J38" s="38"/>
      <c r="K38" s="38"/>
      <c r="L38" s="38"/>
      <c r="M38" s="38" t="s">
        <v>2</v>
      </c>
      <c r="N38" s="42" t="s">
        <v>16</v>
      </c>
      <c r="O38" s="43" t="s">
        <v>17</v>
      </c>
      <c r="P38" s="312" t="s">
        <v>5</v>
      </c>
      <c r="Q38" s="314"/>
      <c r="R38" s="42" t="s">
        <v>3</v>
      </c>
    </row>
    <row r="39" spans="1:18" ht="14.25">
      <c r="A39" s="44"/>
      <c r="B39" s="45" t="s">
        <v>149</v>
      </c>
      <c r="C39" s="50">
        <f>VLOOKUP(B39,$B$2:$M$31,2,FALSE)</f>
        <v>1</v>
      </c>
      <c r="D39" s="47" t="str">
        <f>VLOOKUP(B39,$B$2:$M$30,3,FALSE)</f>
        <v>ระบุจำนวนชั่วโมง</v>
      </c>
      <c r="E39" s="48"/>
      <c r="F39" s="50">
        <f>VLOOKUP(B39,$B$2:$M$31,6,FALSE)</f>
        <v>0</v>
      </c>
      <c r="G39" s="51"/>
      <c r="H39" s="50">
        <f>VLOOKUP(B39,$B$2:$M$31,7,FALSE)</f>
        <v>0</v>
      </c>
      <c r="I39" s="48"/>
      <c r="J39" s="50">
        <f>VLOOKUP(B39,$B$2:$M$31,8,FALSE)</f>
        <v>0</v>
      </c>
      <c r="K39" s="50">
        <f>VLOOKUP(B39,$B$2:$M$31,9,FALSE)</f>
        <v>0</v>
      </c>
      <c r="L39" s="52">
        <f>IF(AND(F39="ระบุการสอนในเวลาหรือนอกเวลา",K39&lt;&gt;"",I39&gt;K39),C39+(I39-K39)/K39,C39)</f>
        <v>1</v>
      </c>
      <c r="M39" s="53" t="str">
        <f>VLOOKUP(B39,$B$2:$M$31,5,FALSE)</f>
        <v>ภาระงาน</v>
      </c>
      <c r="N39" s="54">
        <f>IF(AND(M39="ต่อสัปดาห์",G39="นอกเวลาราชการ",F39&lt;&gt;0),(L39+1)*E39,IF(M39="ต่อสัปดาห์",E39*L39,""))</f>
      </c>
      <c r="O39" s="54">
        <f>IF(M39="ภาระงาน",E39*C39,"")</f>
        <v>0</v>
      </c>
      <c r="P39" s="53" t="str">
        <f>VLOOKUP(B39,$B$2:$M$31,4,FALSE)</f>
        <v>ระบุรายละเอียด</v>
      </c>
      <c r="Q39" s="55" t="s">
        <v>528</v>
      </c>
      <c r="R39" s="55"/>
    </row>
  </sheetData>
  <sheetProtection formatCells="0" formatColumns="0" formatRows="0" insertColumns="0" insertRows="0" insertHyperlinks="0" deleteColumns="0" deleteRows="0" sort="0" autoFilter="0" pivotTables="0"/>
  <protectedRanges>
    <protectedRange sqref="A39:R81" name="ช่วง1"/>
  </protectedRanges>
  <mergeCells count="13">
    <mergeCell ref="B35:C35"/>
    <mergeCell ref="A32:R32"/>
    <mergeCell ref="B33:C33"/>
    <mergeCell ref="D33:E33"/>
    <mergeCell ref="B34:C34"/>
    <mergeCell ref="D34:E34"/>
    <mergeCell ref="A37:A38"/>
    <mergeCell ref="B37:B38"/>
    <mergeCell ref="D38:E38"/>
    <mergeCell ref="P38:Q38"/>
    <mergeCell ref="C37:E37"/>
    <mergeCell ref="P37:R37"/>
    <mergeCell ref="N37:O37"/>
  </mergeCells>
  <dataValidations count="2">
    <dataValidation type="list" allowBlank="1" showInputMessage="1" showErrorMessage="1" sqref="G39">
      <formula1>INDIRECT(ในเวลาราชการ)</formula1>
    </dataValidation>
    <dataValidation type="list" allowBlank="1" showInputMessage="1" showErrorMessage="1" sqref="B39">
      <formula1>INDIRECT(ภาระงานการสอน)</formula1>
    </dataValidation>
  </dataValidations>
  <printOptions/>
  <pageMargins left="0.1968503937007874" right="0.1968503937007874" top="0.4724409448818898" bottom="0.31496062992125984" header="0.15748031496062992" footer="0.15748031496062992"/>
  <pageSetup fitToHeight="5" fitToWidth="1" horizontalDpi="300" verticalDpi="300" orientation="landscape" paperSize="9" r:id="rId1"/>
  <headerFooter alignWithMargins="0">
    <oddFooter>&amp;L&amp;Z&amp;F : แผ่นงาน ; 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2"/>
  <sheetViews>
    <sheetView zoomScale="115" zoomScaleNormal="115" zoomScalePageLayoutView="0" workbookViewId="0" topLeftCell="B65">
      <selection activeCell="B73" sqref="B73"/>
    </sheetView>
  </sheetViews>
  <sheetFormatPr defaultColWidth="9.140625" defaultRowHeight="12.75"/>
  <cols>
    <col min="1" max="1" width="12.8515625" style="18" customWidth="1"/>
    <col min="2" max="2" width="54.8515625" style="18" customWidth="1"/>
    <col min="3" max="3" width="8.421875" style="18" hidden="1" customWidth="1"/>
    <col min="4" max="4" width="9.421875" style="18" bestFit="1" customWidth="1"/>
    <col min="5" max="5" width="12.8515625" style="18" bestFit="1" customWidth="1"/>
    <col min="6" max="6" width="10.7109375" style="18" hidden="1" customWidth="1"/>
    <col min="7" max="7" width="10.28125" style="18" hidden="1" customWidth="1"/>
    <col min="8" max="8" width="8.8515625" style="18" hidden="1" customWidth="1"/>
    <col min="9" max="9" width="7.28125" style="18" bestFit="1" customWidth="1"/>
    <col min="10" max="10" width="41.28125" style="18" customWidth="1"/>
    <col min="11" max="11" width="22.00390625" style="18" customWidth="1"/>
    <col min="12" max="12" width="16.00390625" style="18" customWidth="1"/>
    <col min="13" max="16384" width="9.140625" style="18" customWidth="1"/>
  </cols>
  <sheetData>
    <row r="1" spans="2:6" ht="28.5" hidden="1">
      <c r="B1" s="18" t="s">
        <v>19</v>
      </c>
      <c r="C1" s="18" t="s">
        <v>66</v>
      </c>
      <c r="D1" s="18" t="s">
        <v>67</v>
      </c>
      <c r="F1" s="18" t="s">
        <v>6</v>
      </c>
    </row>
    <row r="2" spans="2:6" ht="28.5" hidden="1">
      <c r="B2" s="61" t="s">
        <v>295</v>
      </c>
      <c r="C2" s="61">
        <v>6</v>
      </c>
      <c r="D2" s="18" t="s">
        <v>324</v>
      </c>
      <c r="E2" s="18" t="s">
        <v>107</v>
      </c>
      <c r="F2" s="18" t="s">
        <v>15</v>
      </c>
    </row>
    <row r="3" spans="2:6" ht="28.5" hidden="1">
      <c r="B3" s="61" t="s">
        <v>296</v>
      </c>
      <c r="C3" s="61">
        <f>6*1.5</f>
        <v>9</v>
      </c>
      <c r="D3" s="18" t="s">
        <v>324</v>
      </c>
      <c r="E3" s="18" t="s">
        <v>107</v>
      </c>
      <c r="F3" s="18" t="s">
        <v>15</v>
      </c>
    </row>
    <row r="4" spans="2:6" ht="28.5" hidden="1">
      <c r="B4" s="61" t="s">
        <v>297</v>
      </c>
      <c r="C4" s="61">
        <v>12</v>
      </c>
      <c r="D4" s="18" t="s">
        <v>324</v>
      </c>
      <c r="E4" s="18" t="s">
        <v>107</v>
      </c>
      <c r="F4" s="18" t="s">
        <v>15</v>
      </c>
    </row>
    <row r="5" spans="2:6" ht="28.5" hidden="1">
      <c r="B5" s="61" t="s">
        <v>298</v>
      </c>
      <c r="C5" s="61">
        <f>6*1.5</f>
        <v>9</v>
      </c>
      <c r="D5" s="18" t="s">
        <v>324</v>
      </c>
      <c r="E5" s="18" t="s">
        <v>107</v>
      </c>
      <c r="F5" s="18" t="s">
        <v>15</v>
      </c>
    </row>
    <row r="6" spans="2:6" ht="28.5" hidden="1">
      <c r="B6" s="61" t="s">
        <v>299</v>
      </c>
      <c r="C6" s="61">
        <f>9*1.5</f>
        <v>13.5</v>
      </c>
      <c r="D6" s="18" t="s">
        <v>324</v>
      </c>
      <c r="E6" s="18" t="s">
        <v>107</v>
      </c>
      <c r="F6" s="18" t="s">
        <v>15</v>
      </c>
    </row>
    <row r="7" spans="2:6" ht="28.5" hidden="1">
      <c r="B7" s="61" t="s">
        <v>300</v>
      </c>
      <c r="C7" s="61">
        <f>12*1.5</f>
        <v>18</v>
      </c>
      <c r="D7" s="18" t="s">
        <v>324</v>
      </c>
      <c r="E7" s="18" t="s">
        <v>107</v>
      </c>
      <c r="F7" s="18" t="s">
        <v>15</v>
      </c>
    </row>
    <row r="8" spans="2:6" ht="28.5" hidden="1">
      <c r="B8" s="61" t="s">
        <v>301</v>
      </c>
      <c r="C8" s="61">
        <v>6</v>
      </c>
      <c r="D8" s="18" t="s">
        <v>324</v>
      </c>
      <c r="E8" s="18" t="s">
        <v>107</v>
      </c>
      <c r="F8" s="18" t="s">
        <v>15</v>
      </c>
    </row>
    <row r="9" spans="2:6" ht="28.5" hidden="1">
      <c r="B9" s="61" t="s">
        <v>302</v>
      </c>
      <c r="C9" s="61">
        <f>6*1.5</f>
        <v>9</v>
      </c>
      <c r="D9" s="18" t="s">
        <v>324</v>
      </c>
      <c r="E9" s="18" t="s">
        <v>107</v>
      </c>
      <c r="F9" s="18" t="s">
        <v>15</v>
      </c>
    </row>
    <row r="10" spans="2:6" ht="28.5" hidden="1">
      <c r="B10" s="61" t="s">
        <v>303</v>
      </c>
      <c r="C10" s="61">
        <v>12</v>
      </c>
      <c r="D10" s="18" t="s">
        <v>324</v>
      </c>
      <c r="E10" s="18" t="s">
        <v>107</v>
      </c>
      <c r="F10" s="18" t="s">
        <v>15</v>
      </c>
    </row>
    <row r="11" spans="2:6" ht="28.5" hidden="1">
      <c r="B11" s="61" t="s">
        <v>304</v>
      </c>
      <c r="C11" s="61">
        <f>6*1.5</f>
        <v>9</v>
      </c>
      <c r="D11" s="18" t="s">
        <v>324</v>
      </c>
      <c r="E11" s="18" t="s">
        <v>107</v>
      </c>
      <c r="F11" s="18" t="s">
        <v>15</v>
      </c>
    </row>
    <row r="12" spans="2:6" ht="28.5" hidden="1">
      <c r="B12" s="61" t="s">
        <v>305</v>
      </c>
      <c r="C12" s="61">
        <f>9*1.5</f>
        <v>13.5</v>
      </c>
      <c r="D12" s="18" t="s">
        <v>324</v>
      </c>
      <c r="E12" s="18" t="s">
        <v>107</v>
      </c>
      <c r="F12" s="18" t="s">
        <v>15</v>
      </c>
    </row>
    <row r="13" spans="2:6" ht="28.5" hidden="1">
      <c r="B13" s="61" t="s">
        <v>306</v>
      </c>
      <c r="C13" s="61">
        <f>12*1.5</f>
        <v>18</v>
      </c>
      <c r="D13" s="18" t="s">
        <v>324</v>
      </c>
      <c r="E13" s="18" t="s">
        <v>107</v>
      </c>
      <c r="F13" s="18" t="s">
        <v>15</v>
      </c>
    </row>
    <row r="14" spans="2:6" ht="28.5" hidden="1">
      <c r="B14" s="61" t="s">
        <v>193</v>
      </c>
      <c r="C14" s="61">
        <v>4</v>
      </c>
      <c r="D14" s="18" t="s">
        <v>318</v>
      </c>
      <c r="E14" s="18" t="s">
        <v>107</v>
      </c>
      <c r="F14" s="18" t="s">
        <v>15</v>
      </c>
    </row>
    <row r="15" spans="2:6" ht="28.5" hidden="1">
      <c r="B15" s="72" t="s">
        <v>529</v>
      </c>
      <c r="C15" s="61">
        <v>2</v>
      </c>
      <c r="D15" s="18" t="s">
        <v>318</v>
      </c>
      <c r="E15" s="18" t="s">
        <v>107</v>
      </c>
      <c r="F15" s="18" t="s">
        <v>15</v>
      </c>
    </row>
    <row r="16" spans="2:6" ht="28.5" hidden="1">
      <c r="B16" s="61" t="s">
        <v>194</v>
      </c>
      <c r="C16" s="61">
        <v>3</v>
      </c>
      <c r="D16" s="18" t="s">
        <v>318</v>
      </c>
      <c r="E16" s="18" t="s">
        <v>107</v>
      </c>
      <c r="F16" s="18" t="s">
        <v>15</v>
      </c>
    </row>
    <row r="17" spans="2:6" ht="28.5" hidden="1">
      <c r="B17" s="61" t="s">
        <v>195</v>
      </c>
      <c r="C17" s="61">
        <v>2</v>
      </c>
      <c r="D17" s="18" t="s">
        <v>318</v>
      </c>
      <c r="E17" s="18" t="s">
        <v>107</v>
      </c>
      <c r="F17" s="18" t="s">
        <v>15</v>
      </c>
    </row>
    <row r="18" spans="2:6" ht="28.5" hidden="1">
      <c r="B18" s="61" t="s">
        <v>196</v>
      </c>
      <c r="C18" s="61">
        <v>2</v>
      </c>
      <c r="D18" s="18" t="s">
        <v>318</v>
      </c>
      <c r="E18" s="18" t="s">
        <v>107</v>
      </c>
      <c r="F18" s="18" t="s">
        <v>15</v>
      </c>
    </row>
    <row r="19" spans="2:6" ht="14.25" hidden="1">
      <c r="B19" s="61" t="s">
        <v>100</v>
      </c>
      <c r="C19" s="61">
        <v>20</v>
      </c>
      <c r="D19" s="18" t="s">
        <v>325</v>
      </c>
      <c r="E19" s="18" t="s">
        <v>107</v>
      </c>
      <c r="F19" s="18" t="s">
        <v>2</v>
      </c>
    </row>
    <row r="20" spans="2:6" ht="28.5" hidden="1">
      <c r="B20" s="61" t="s">
        <v>197</v>
      </c>
      <c r="C20" s="61">
        <v>30</v>
      </c>
      <c r="D20" s="18" t="s">
        <v>325</v>
      </c>
      <c r="E20" s="18" t="s">
        <v>107</v>
      </c>
      <c r="F20" s="18" t="s">
        <v>2</v>
      </c>
    </row>
    <row r="21" spans="2:6" ht="28.5" hidden="1">
      <c r="B21" s="61" t="s">
        <v>198</v>
      </c>
      <c r="C21" s="61">
        <v>40</v>
      </c>
      <c r="D21" s="18" t="s">
        <v>325</v>
      </c>
      <c r="E21" s="18" t="s">
        <v>107</v>
      </c>
      <c r="F21" s="18" t="s">
        <v>2</v>
      </c>
    </row>
    <row r="22" spans="2:6" ht="28.5" hidden="1">
      <c r="B22" s="61" t="s">
        <v>199</v>
      </c>
      <c r="C22" s="61">
        <v>50</v>
      </c>
      <c r="D22" s="18" t="s">
        <v>325</v>
      </c>
      <c r="E22" s="18" t="s">
        <v>107</v>
      </c>
      <c r="F22" s="18" t="s">
        <v>2</v>
      </c>
    </row>
    <row r="23" spans="2:6" ht="14.25" hidden="1">
      <c r="B23" s="61" t="s">
        <v>200</v>
      </c>
      <c r="C23" s="61">
        <v>60</v>
      </c>
      <c r="D23" s="18" t="s">
        <v>325</v>
      </c>
      <c r="E23" s="18" t="s">
        <v>107</v>
      </c>
      <c r="F23" s="18" t="s">
        <v>2</v>
      </c>
    </row>
    <row r="24" spans="2:6" ht="28.5" hidden="1">
      <c r="B24" s="61" t="s">
        <v>201</v>
      </c>
      <c r="C24" s="61">
        <v>15</v>
      </c>
      <c r="D24" s="18" t="s">
        <v>325</v>
      </c>
      <c r="E24" s="18" t="s">
        <v>107</v>
      </c>
      <c r="F24" s="18" t="s">
        <v>2</v>
      </c>
    </row>
    <row r="25" spans="2:6" ht="28.5" hidden="1">
      <c r="B25" s="61" t="s">
        <v>202</v>
      </c>
      <c r="C25" s="61">
        <v>20</v>
      </c>
      <c r="D25" s="18" t="s">
        <v>325</v>
      </c>
      <c r="E25" s="18" t="s">
        <v>107</v>
      </c>
      <c r="F25" s="18" t="s">
        <v>2</v>
      </c>
    </row>
    <row r="26" spans="2:6" ht="28.5" hidden="1">
      <c r="B26" s="61" t="s">
        <v>203</v>
      </c>
      <c r="C26" s="61">
        <v>25</v>
      </c>
      <c r="D26" s="18" t="s">
        <v>325</v>
      </c>
      <c r="E26" s="18" t="s">
        <v>107</v>
      </c>
      <c r="F26" s="18" t="s">
        <v>2</v>
      </c>
    </row>
    <row r="27" spans="2:6" ht="14.25" hidden="1">
      <c r="B27" s="61" t="s">
        <v>204</v>
      </c>
      <c r="C27" s="61">
        <v>30</v>
      </c>
      <c r="D27" s="18" t="s">
        <v>325</v>
      </c>
      <c r="E27" s="18" t="s">
        <v>107</v>
      </c>
      <c r="F27" s="18" t="s">
        <v>2</v>
      </c>
    </row>
    <row r="28" spans="2:6" ht="42.75" hidden="1">
      <c r="B28" s="61" t="s">
        <v>205</v>
      </c>
      <c r="C28" s="61">
        <v>60</v>
      </c>
      <c r="D28" s="18" t="s">
        <v>317</v>
      </c>
      <c r="E28" s="18" t="s">
        <v>107</v>
      </c>
      <c r="F28" s="18" t="s">
        <v>2</v>
      </c>
    </row>
    <row r="29" spans="2:6" ht="28.5" hidden="1">
      <c r="B29" s="61" t="s">
        <v>206</v>
      </c>
      <c r="C29" s="61">
        <v>100</v>
      </c>
      <c r="D29" s="18" t="s">
        <v>317</v>
      </c>
      <c r="E29" s="18" t="s">
        <v>107</v>
      </c>
      <c r="F29" s="18" t="s">
        <v>2</v>
      </c>
    </row>
    <row r="30" spans="2:6" ht="28.5" hidden="1">
      <c r="B30" s="61" t="s">
        <v>207</v>
      </c>
      <c r="C30" s="61">
        <v>110</v>
      </c>
      <c r="D30" s="18" t="s">
        <v>317</v>
      </c>
      <c r="E30" s="18" t="s">
        <v>107</v>
      </c>
      <c r="F30" s="18" t="s">
        <v>2</v>
      </c>
    </row>
    <row r="31" spans="2:6" ht="28.5" hidden="1">
      <c r="B31" s="61" t="s">
        <v>208</v>
      </c>
      <c r="C31" s="61">
        <v>150</v>
      </c>
      <c r="D31" s="18" t="s">
        <v>317</v>
      </c>
      <c r="E31" s="18" t="s">
        <v>107</v>
      </c>
      <c r="F31" s="18" t="s">
        <v>2</v>
      </c>
    </row>
    <row r="32" spans="2:6" ht="28.5" hidden="1">
      <c r="B32" s="61" t="s">
        <v>209</v>
      </c>
      <c r="C32" s="61">
        <v>30</v>
      </c>
      <c r="D32" s="18" t="s">
        <v>317</v>
      </c>
      <c r="E32" s="18" t="s">
        <v>107</v>
      </c>
      <c r="F32" s="18" t="s">
        <v>2</v>
      </c>
    </row>
    <row r="33" spans="2:6" ht="28.5" hidden="1">
      <c r="B33" s="61" t="s">
        <v>210</v>
      </c>
      <c r="C33" s="61">
        <v>50</v>
      </c>
      <c r="D33" s="18" t="s">
        <v>317</v>
      </c>
      <c r="E33" s="18" t="s">
        <v>107</v>
      </c>
      <c r="F33" s="18" t="s">
        <v>2</v>
      </c>
    </row>
    <row r="34" spans="2:6" ht="28.5" hidden="1">
      <c r="B34" s="61" t="s">
        <v>211</v>
      </c>
      <c r="C34" s="61">
        <v>55</v>
      </c>
      <c r="D34" s="18" t="s">
        <v>317</v>
      </c>
      <c r="E34" s="18" t="s">
        <v>107</v>
      </c>
      <c r="F34" s="18" t="s">
        <v>2</v>
      </c>
    </row>
    <row r="35" spans="2:6" ht="28.5" hidden="1">
      <c r="B35" s="61" t="s">
        <v>212</v>
      </c>
      <c r="C35" s="61">
        <v>75</v>
      </c>
      <c r="D35" s="18" t="s">
        <v>317</v>
      </c>
      <c r="E35" s="18" t="s">
        <v>107</v>
      </c>
      <c r="F35" s="18" t="s">
        <v>2</v>
      </c>
    </row>
    <row r="36" spans="2:6" ht="14.25" hidden="1">
      <c r="B36" s="61" t="s">
        <v>220</v>
      </c>
      <c r="C36" s="61">
        <v>40</v>
      </c>
      <c r="D36" s="18" t="s">
        <v>317</v>
      </c>
      <c r="E36" s="18" t="s">
        <v>107</v>
      </c>
      <c r="F36" s="18" t="s">
        <v>2</v>
      </c>
    </row>
    <row r="37" spans="2:6" ht="14.25" hidden="1">
      <c r="B37" s="61" t="s">
        <v>219</v>
      </c>
      <c r="C37" s="61">
        <v>30</v>
      </c>
      <c r="D37" s="18" t="s">
        <v>317</v>
      </c>
      <c r="E37" s="18" t="s">
        <v>107</v>
      </c>
      <c r="F37" s="18" t="s">
        <v>2</v>
      </c>
    </row>
    <row r="38" spans="2:6" ht="14.25" hidden="1">
      <c r="B38" s="61" t="s">
        <v>218</v>
      </c>
      <c r="C38" s="61">
        <v>80</v>
      </c>
      <c r="D38" s="18" t="s">
        <v>317</v>
      </c>
      <c r="E38" s="18" t="s">
        <v>107</v>
      </c>
      <c r="F38" s="18" t="s">
        <v>2</v>
      </c>
    </row>
    <row r="39" spans="2:6" ht="14.25" hidden="1">
      <c r="B39" s="61" t="s">
        <v>217</v>
      </c>
      <c r="C39" s="61">
        <v>60</v>
      </c>
      <c r="D39" s="18" t="s">
        <v>317</v>
      </c>
      <c r="E39" s="18" t="s">
        <v>107</v>
      </c>
      <c r="F39" s="18" t="s">
        <v>2</v>
      </c>
    </row>
    <row r="40" spans="2:6" ht="14.25" hidden="1">
      <c r="B40" s="61" t="s">
        <v>216</v>
      </c>
      <c r="C40" s="61">
        <v>20</v>
      </c>
      <c r="D40" s="18" t="s">
        <v>317</v>
      </c>
      <c r="E40" s="18" t="s">
        <v>107</v>
      </c>
      <c r="F40" s="18" t="s">
        <v>2</v>
      </c>
    </row>
    <row r="41" spans="2:6" ht="14.25" hidden="1">
      <c r="B41" s="61" t="s">
        <v>215</v>
      </c>
      <c r="C41" s="61">
        <v>15</v>
      </c>
      <c r="D41" s="18" t="s">
        <v>317</v>
      </c>
      <c r="E41" s="18" t="s">
        <v>107</v>
      </c>
      <c r="F41" s="18" t="s">
        <v>2</v>
      </c>
    </row>
    <row r="42" spans="2:6" ht="14.25" hidden="1">
      <c r="B42" s="61" t="s">
        <v>214</v>
      </c>
      <c r="C42" s="61">
        <v>40</v>
      </c>
      <c r="D42" s="18" t="s">
        <v>317</v>
      </c>
      <c r="E42" s="18" t="s">
        <v>107</v>
      </c>
      <c r="F42" s="18" t="s">
        <v>2</v>
      </c>
    </row>
    <row r="43" spans="2:6" ht="14.25" hidden="1">
      <c r="B43" s="61" t="s">
        <v>213</v>
      </c>
      <c r="C43" s="61">
        <v>30</v>
      </c>
      <c r="D43" s="18" t="s">
        <v>317</v>
      </c>
      <c r="E43" s="18" t="s">
        <v>107</v>
      </c>
      <c r="F43" s="18" t="s">
        <v>2</v>
      </c>
    </row>
    <row r="44" spans="2:6" ht="14.25" hidden="1">
      <c r="B44" s="61" t="s">
        <v>101</v>
      </c>
      <c r="C44" s="61">
        <v>20</v>
      </c>
      <c r="D44" s="18" t="s">
        <v>317</v>
      </c>
      <c r="E44" s="18" t="s">
        <v>107</v>
      </c>
      <c r="F44" s="18" t="s">
        <v>2</v>
      </c>
    </row>
    <row r="45" spans="2:6" ht="14.25" hidden="1">
      <c r="B45" s="61" t="s">
        <v>102</v>
      </c>
      <c r="C45" s="61">
        <v>60</v>
      </c>
      <c r="D45" s="18" t="s">
        <v>317</v>
      </c>
      <c r="E45" s="18" t="s">
        <v>107</v>
      </c>
      <c r="F45" s="18" t="s">
        <v>2</v>
      </c>
    </row>
    <row r="46" spans="2:6" ht="14.25" hidden="1">
      <c r="B46" s="61" t="s">
        <v>103</v>
      </c>
      <c r="C46" s="61">
        <v>10</v>
      </c>
      <c r="D46" s="18" t="s">
        <v>317</v>
      </c>
      <c r="E46" s="18" t="s">
        <v>107</v>
      </c>
      <c r="F46" s="18" t="s">
        <v>2</v>
      </c>
    </row>
    <row r="47" spans="2:6" ht="14.25" hidden="1">
      <c r="B47" s="61" t="s">
        <v>104</v>
      </c>
      <c r="C47" s="61">
        <v>30</v>
      </c>
      <c r="D47" s="18" t="s">
        <v>317</v>
      </c>
      <c r="E47" s="18" t="s">
        <v>107</v>
      </c>
      <c r="F47" s="18" t="s">
        <v>2</v>
      </c>
    </row>
    <row r="48" spans="2:6" ht="14.25" hidden="1">
      <c r="B48" s="61" t="s">
        <v>105</v>
      </c>
      <c r="C48" s="61">
        <v>60</v>
      </c>
      <c r="D48" s="18" t="s">
        <v>317</v>
      </c>
      <c r="E48" s="18" t="s">
        <v>107</v>
      </c>
      <c r="F48" s="18" t="s">
        <v>2</v>
      </c>
    </row>
    <row r="49" spans="2:6" ht="14.25" hidden="1">
      <c r="B49" s="61" t="s">
        <v>106</v>
      </c>
      <c r="C49" s="61">
        <v>80</v>
      </c>
      <c r="D49" s="18" t="s">
        <v>317</v>
      </c>
      <c r="E49" s="18" t="s">
        <v>107</v>
      </c>
      <c r="F49" s="18" t="s">
        <v>2</v>
      </c>
    </row>
    <row r="50" spans="2:6" ht="14.25" hidden="1">
      <c r="B50" s="61" t="s">
        <v>221</v>
      </c>
      <c r="C50" s="18">
        <v>15</v>
      </c>
      <c r="D50" s="18" t="s">
        <v>317</v>
      </c>
      <c r="E50" s="18" t="s">
        <v>107</v>
      </c>
      <c r="F50" s="18" t="s">
        <v>2</v>
      </c>
    </row>
    <row r="51" spans="2:6" ht="14.25" hidden="1">
      <c r="B51" s="61" t="s">
        <v>222</v>
      </c>
      <c r="C51" s="18">
        <v>30</v>
      </c>
      <c r="D51" s="18" t="s">
        <v>317</v>
      </c>
      <c r="E51" s="18" t="s">
        <v>107</v>
      </c>
      <c r="F51" s="18" t="s">
        <v>2</v>
      </c>
    </row>
    <row r="52" spans="2:6" ht="14.25" hidden="1">
      <c r="B52" s="61" t="s">
        <v>223</v>
      </c>
      <c r="C52" s="18">
        <v>7.5</v>
      </c>
      <c r="D52" s="18" t="s">
        <v>317</v>
      </c>
      <c r="E52" s="18" t="s">
        <v>107</v>
      </c>
      <c r="F52" s="18" t="s">
        <v>2</v>
      </c>
    </row>
    <row r="53" spans="2:6" ht="14.25" hidden="1">
      <c r="B53" s="61" t="s">
        <v>224</v>
      </c>
      <c r="C53" s="18">
        <v>15</v>
      </c>
      <c r="D53" s="18" t="s">
        <v>317</v>
      </c>
      <c r="E53" s="18" t="s">
        <v>107</v>
      </c>
      <c r="F53" s="18" t="s">
        <v>2</v>
      </c>
    </row>
    <row r="54" spans="2:6" ht="14.25" hidden="1">
      <c r="B54" s="61" t="s">
        <v>225</v>
      </c>
      <c r="C54" s="18">
        <v>50</v>
      </c>
      <c r="D54" s="18" t="s">
        <v>317</v>
      </c>
      <c r="E54" s="18" t="s">
        <v>107</v>
      </c>
      <c r="F54" s="18" t="s">
        <v>2</v>
      </c>
    </row>
    <row r="55" spans="2:6" ht="14.25" hidden="1">
      <c r="B55" s="61" t="s">
        <v>226</v>
      </c>
      <c r="C55" s="18">
        <v>100</v>
      </c>
      <c r="D55" s="18" t="s">
        <v>317</v>
      </c>
      <c r="E55" s="18" t="s">
        <v>107</v>
      </c>
      <c r="F55" s="18" t="s">
        <v>2</v>
      </c>
    </row>
    <row r="56" spans="2:6" ht="14.25" hidden="1">
      <c r="B56" s="61" t="s">
        <v>227</v>
      </c>
      <c r="C56" s="18">
        <v>150</v>
      </c>
      <c r="D56" s="18" t="s">
        <v>317</v>
      </c>
      <c r="E56" s="18" t="s">
        <v>107</v>
      </c>
      <c r="F56" s="18" t="s">
        <v>2</v>
      </c>
    </row>
    <row r="57" spans="2:6" ht="14.25" hidden="1">
      <c r="B57" s="61" t="s">
        <v>228</v>
      </c>
      <c r="C57" s="18">
        <v>300</v>
      </c>
      <c r="D57" s="18" t="s">
        <v>317</v>
      </c>
      <c r="E57" s="18" t="s">
        <v>107</v>
      </c>
      <c r="F57" s="18" t="s">
        <v>2</v>
      </c>
    </row>
    <row r="58" spans="2:6" ht="14.25" hidden="1">
      <c r="B58" s="61" t="s">
        <v>229</v>
      </c>
      <c r="C58" s="18">
        <v>250</v>
      </c>
      <c r="D58" s="18" t="s">
        <v>317</v>
      </c>
      <c r="E58" s="18" t="s">
        <v>107</v>
      </c>
      <c r="F58" s="18" t="s">
        <v>2</v>
      </c>
    </row>
    <row r="59" spans="2:6" ht="14.25" hidden="1">
      <c r="B59" s="61" t="s">
        <v>230</v>
      </c>
      <c r="C59" s="18">
        <v>500</v>
      </c>
      <c r="D59" s="18" t="s">
        <v>317</v>
      </c>
      <c r="E59" s="18" t="s">
        <v>107</v>
      </c>
      <c r="F59" s="18" t="s">
        <v>2</v>
      </c>
    </row>
    <row r="60" spans="2:6" ht="14.25" hidden="1">
      <c r="B60" s="61" t="s">
        <v>231</v>
      </c>
      <c r="C60" s="18">
        <v>15</v>
      </c>
      <c r="D60" s="18" t="s">
        <v>326</v>
      </c>
      <c r="E60" s="18" t="s">
        <v>235</v>
      </c>
      <c r="F60" s="18" t="s">
        <v>2</v>
      </c>
    </row>
    <row r="61" spans="2:6" ht="14.25" hidden="1">
      <c r="B61" s="61" t="s">
        <v>232</v>
      </c>
      <c r="C61" s="18">
        <v>30</v>
      </c>
      <c r="D61" s="18" t="s">
        <v>326</v>
      </c>
      <c r="E61" s="18" t="s">
        <v>235</v>
      </c>
      <c r="F61" s="18" t="s">
        <v>2</v>
      </c>
    </row>
    <row r="62" spans="2:6" ht="28.5" hidden="1">
      <c r="B62" s="61" t="s">
        <v>233</v>
      </c>
      <c r="C62" s="18">
        <v>15</v>
      </c>
      <c r="D62" s="18" t="s">
        <v>326</v>
      </c>
      <c r="E62" s="18" t="s">
        <v>236</v>
      </c>
      <c r="F62" s="18" t="s">
        <v>2</v>
      </c>
    </row>
    <row r="63" spans="2:6" ht="28.5" hidden="1">
      <c r="B63" s="61" t="s">
        <v>234</v>
      </c>
      <c r="C63" s="18">
        <v>30</v>
      </c>
      <c r="D63" s="18" t="s">
        <v>326</v>
      </c>
      <c r="E63" s="18" t="s">
        <v>236</v>
      </c>
      <c r="F63" s="18" t="s">
        <v>2</v>
      </c>
    </row>
    <row r="64" ht="14.25" hidden="1"/>
    <row r="65" spans="1:11" ht="25.5" customHeight="1">
      <c r="A65" s="319" t="s">
        <v>291</v>
      </c>
      <c r="B65" s="319"/>
      <c r="C65" s="319"/>
      <c r="D65" s="319"/>
      <c r="E65" s="319"/>
      <c r="F65" s="319"/>
      <c r="G65" s="319"/>
      <c r="H65" s="319"/>
      <c r="I65" s="319"/>
      <c r="J65" s="319"/>
      <c r="K65" s="319"/>
    </row>
    <row r="66" spans="1:11" ht="15">
      <c r="A66" s="22" t="s">
        <v>23</v>
      </c>
      <c r="B66" s="335" t="str">
        <f>ข้อมูลผู้กรอกและสรุปภาระงาน!B11</f>
        <v>ชื่ออาจารย์</v>
      </c>
      <c r="C66" s="335"/>
      <c r="D66" s="336" t="s">
        <v>4</v>
      </c>
      <c r="E66" s="336"/>
      <c r="F66" s="62"/>
      <c r="H66" s="26"/>
      <c r="I66" s="23">
        <f>SUM(G73:G678)+SUM(H73:H678)/26</f>
        <v>0</v>
      </c>
      <c r="J66" s="27"/>
      <c r="K66" s="28"/>
    </row>
    <row r="67" spans="1:11" ht="15">
      <c r="A67" s="29" t="s">
        <v>22</v>
      </c>
      <c r="B67" s="310" t="str">
        <f>ข้อมูลผู้กรอกและสรุปภาระงาน!B12</f>
        <v>ชื่อภาควิชา</v>
      </c>
      <c r="C67" s="310"/>
      <c r="D67" s="333"/>
      <c r="E67" s="334"/>
      <c r="F67" s="24"/>
      <c r="G67" s="337"/>
      <c r="H67" s="337"/>
      <c r="I67" s="337"/>
      <c r="J67" s="27"/>
      <c r="K67" s="28"/>
    </row>
    <row r="68" spans="1:11" ht="15">
      <c r="A68" s="29" t="s">
        <v>153</v>
      </c>
      <c r="B68" s="310" t="str">
        <f>ข้อมูลผู้กรอกและสรุปภาระงาน!B16</f>
        <v>รอบที่ 2 เดือนกุมภาพันธ์ 2563 - กรกฎาคม 2563</v>
      </c>
      <c r="C68" s="310"/>
      <c r="D68" s="58"/>
      <c r="E68" s="31"/>
      <c r="F68" s="31"/>
      <c r="G68" s="33"/>
      <c r="H68" s="33"/>
      <c r="I68" s="33"/>
      <c r="J68" s="33"/>
      <c r="K68" s="28"/>
    </row>
    <row r="70" spans="1:11" s="39" customFormat="1" ht="18" customHeight="1">
      <c r="A70" s="320" t="s">
        <v>1</v>
      </c>
      <c r="B70" s="320" t="s">
        <v>335</v>
      </c>
      <c r="C70" s="328" t="s">
        <v>311</v>
      </c>
      <c r="D70" s="328"/>
      <c r="E70" s="328"/>
      <c r="F70" s="328"/>
      <c r="G70" s="312" t="s">
        <v>7</v>
      </c>
      <c r="H70" s="314"/>
      <c r="I70" s="312" t="s">
        <v>319</v>
      </c>
      <c r="J70" s="313"/>
      <c r="K70" s="314"/>
    </row>
    <row r="71" spans="1:11" s="39" customFormat="1" ht="25.5" customHeight="1">
      <c r="A71" s="321"/>
      <c r="B71" s="321"/>
      <c r="C71" s="41" t="s">
        <v>7</v>
      </c>
      <c r="D71" s="312" t="s">
        <v>330</v>
      </c>
      <c r="E71" s="314"/>
      <c r="F71" s="38" t="s">
        <v>2</v>
      </c>
      <c r="G71" s="42" t="s">
        <v>16</v>
      </c>
      <c r="H71" s="43" t="s">
        <v>17</v>
      </c>
      <c r="I71" s="312" t="s">
        <v>5</v>
      </c>
      <c r="J71" s="314"/>
      <c r="K71" s="42" t="s">
        <v>3</v>
      </c>
    </row>
    <row r="72" spans="1:11" s="39" customFormat="1" ht="25.5" customHeight="1">
      <c r="A72" s="40"/>
      <c r="B72" s="40"/>
      <c r="C72" s="41"/>
      <c r="D72" s="68"/>
      <c r="E72" s="38"/>
      <c r="F72" s="38"/>
      <c r="G72" s="42"/>
      <c r="H72" s="43"/>
      <c r="I72" s="68"/>
      <c r="J72" s="38"/>
      <c r="K72" s="42"/>
    </row>
    <row r="73" spans="1:11" ht="42.75">
      <c r="A73" s="44"/>
      <c r="B73" s="45" t="s">
        <v>231</v>
      </c>
      <c r="C73" s="50">
        <f>IF(B73="งานวิจัยเดี่ยว ได้รับทุนภายในมหาวิทยาลัย (งบมากกว่า 50,000  บาท ให้ระบุงบประมาณ)",(6+ROUNDDOWN((E73-50000)/10000*0.1,1)),IF(B73="งานวิจัยเดี่ยว ได้รับทุนภายนอกมหาวิทยาลัย (งบมากกว่า 50,000  บาท ให้ระบุงบประมาณ)",(9+ROUNDDOWN((E73-50000)/10000*0.1,1)),IF(B73="งานวิจัยเดี่ยว ได้รับทุนต่างประเทศ (งบมากกว่า 50,000  บาท ให้ระบุงบประมาณ)",(12+ROUNDDOWN((E73-50000)/10000*0.1,1)),IF(B73="ชุดโครงการวิจัย ได้รับทุนภายในมหาวิทยาลัย (งบมากกว่า 50,000  บาท ให้ระบุงบประมาณ)",(9+ROUNDDOWN((E73-50000)/10000*0.1,1)),IF(B73="ชุดโครงการวิจัย ได้รับทุนภายนอกมหาวิทยาลัย (งบมากกว่า 50,000  บาท ให้ระบุงบประมาณ)",(13.5+ROUNDDOWN((E73-50000)/10000*0.1,1)),IF(B73="ชุดโครงการวิจัย ได้รับทุนต่างประเทศ (งบมากกว่า 50,000  บาท ให้ระบุงบประมาณ)",(18+ROUNDDOWN((E73-50000)/10000*0.1,1)),(VLOOKUP(B73,$B$2:$F$64,2,FALSE))))))))</f>
        <v>15</v>
      </c>
      <c r="D73" s="47" t="str">
        <f>VLOOKUP(B73,$B$2:$F$63,3,FALSE)</f>
        <v>ระบุจำนวนบท</v>
      </c>
      <c r="E73" s="63"/>
      <c r="F73" s="53" t="str">
        <f>VLOOKUP(B73,$B$2:$F$64,5,FALSE)</f>
        <v>ภาระงาน</v>
      </c>
      <c r="G73" s="54">
        <f>IF(D73="ระบุจำนวนงบประมาณ",C73,IF(AND(F73="ต่อสัปดาห์",D73&lt;&gt;"ระบุจำนวนงบประมาณ"),E73*C73,""))</f>
      </c>
      <c r="H73" s="54">
        <f>IF(F73="ภาระงาน",E73*C73,"")</f>
        <v>0</v>
      </c>
      <c r="I73" s="53" t="str">
        <f>VLOOKUP(B73,$B$2:$F$64,4,FALSE)</f>
        <v>ระบุชื่อตำรา และชื่อบท</v>
      </c>
      <c r="J73" s="55"/>
      <c r="K73" s="55"/>
    </row>
    <row r="82" ht="14.25">
      <c r="J82" s="18">
        <f>850*3</f>
        <v>2550</v>
      </c>
    </row>
  </sheetData>
  <sheetProtection/>
  <protectedRanges>
    <protectedRange password="CF57" sqref="K74:K393" name="ช่วง4"/>
    <protectedRange password="CF57" sqref="J74:J393" name="ช่วง3"/>
    <protectedRange password="CF57" sqref="E74:E393" name="ช่วง2"/>
    <protectedRange password="CF57" sqref="A74:A393" name="ช่วง1"/>
    <protectedRange password="CF57" sqref="E73" name="ช่วง2_1"/>
    <protectedRange password="CF57" sqref="A73" name="ช่วง1_1"/>
    <protectedRange password="CF57" sqref="K73" name="ช่วง4_1_1"/>
    <protectedRange password="CF57" sqref="J73" name="ช่วง3_1"/>
  </protectedRanges>
  <mergeCells count="14">
    <mergeCell ref="A65:K65"/>
    <mergeCell ref="B66:C66"/>
    <mergeCell ref="D66:E66"/>
    <mergeCell ref="B67:C67"/>
    <mergeCell ref="D67:E67"/>
    <mergeCell ref="G67:I67"/>
    <mergeCell ref="B68:C68"/>
    <mergeCell ref="A70:A71"/>
    <mergeCell ref="B70:B71"/>
    <mergeCell ref="D71:E71"/>
    <mergeCell ref="I71:J71"/>
    <mergeCell ref="C70:F70"/>
    <mergeCell ref="G70:H70"/>
    <mergeCell ref="I70:K70"/>
  </mergeCells>
  <dataValidations count="1">
    <dataValidation type="list" allowBlank="1" showInputMessage="1" showErrorMessage="1" sqref="B73">
      <formula1>INDIRECT(ภาระงานวิจัย)</formula1>
    </dataValidation>
  </dataValidations>
  <printOptions/>
  <pageMargins left="0.1968503937007874" right="0.1968503937007874" top="0.4330708661417323" bottom="0.35433070866141736" header="0.15748031496062992" footer="0.15748031496062992"/>
  <pageSetup fitToHeight="5" fitToWidth="1" horizontalDpi="600" verticalDpi="600" orientation="landscape" paperSize="9" scale="91" r:id="rId1"/>
  <headerFooter alignWithMargins="0">
    <oddFooter>&amp;L&amp;Z&amp;F : แผ่นงาน ; 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0"/>
  <sheetViews>
    <sheetView zoomScale="115" zoomScaleNormal="115" zoomScalePageLayoutView="0" workbookViewId="0" topLeftCell="A43">
      <selection activeCell="B50" sqref="B50"/>
    </sheetView>
  </sheetViews>
  <sheetFormatPr defaultColWidth="9.140625" defaultRowHeight="12.75"/>
  <cols>
    <col min="1" max="1" width="10.421875" style="18" customWidth="1"/>
    <col min="2" max="2" width="53.421875" style="18" customWidth="1"/>
    <col min="3" max="3" width="10.00390625" style="18" hidden="1" customWidth="1"/>
    <col min="4" max="4" width="14.57421875" style="18" customWidth="1"/>
    <col min="5" max="5" width="9.57421875" style="18" customWidth="1"/>
    <col min="6" max="6" width="10.421875" style="18" hidden="1" customWidth="1"/>
    <col min="7" max="7" width="6.140625" style="18" hidden="1" customWidth="1"/>
    <col min="8" max="8" width="6.7109375" style="18" hidden="1" customWidth="1"/>
    <col min="9" max="9" width="15.140625" style="18" customWidth="1"/>
    <col min="10" max="10" width="43.00390625" style="18" customWidth="1"/>
    <col min="11" max="11" width="22.8515625" style="18" customWidth="1"/>
    <col min="12" max="12" width="16.00390625" style="18" customWidth="1"/>
    <col min="13" max="16384" width="9.140625" style="18" customWidth="1"/>
  </cols>
  <sheetData>
    <row r="1" spans="2:6" ht="14.25" hidden="1">
      <c r="B1" s="18" t="s">
        <v>21</v>
      </c>
      <c r="C1" s="18" t="s">
        <v>66</v>
      </c>
      <c r="D1" s="18" t="s">
        <v>67</v>
      </c>
      <c r="F1" s="18" t="s">
        <v>6</v>
      </c>
    </row>
    <row r="2" spans="2:6" ht="28.5" hidden="1">
      <c r="B2" s="61" t="s">
        <v>176</v>
      </c>
      <c r="C2" s="61">
        <v>2</v>
      </c>
      <c r="D2" s="18" t="s">
        <v>314</v>
      </c>
      <c r="E2" s="18" t="s">
        <v>97</v>
      </c>
      <c r="F2" s="18" t="s">
        <v>2</v>
      </c>
    </row>
    <row r="3" spans="2:6" ht="28.5" hidden="1">
      <c r="B3" s="61" t="s">
        <v>177</v>
      </c>
      <c r="C3" s="61">
        <v>1</v>
      </c>
      <c r="D3" s="18" t="s">
        <v>314</v>
      </c>
      <c r="E3" s="18" t="s">
        <v>97</v>
      </c>
      <c r="F3" s="18" t="s">
        <v>2</v>
      </c>
    </row>
    <row r="4" spans="2:6" ht="28.5" hidden="1">
      <c r="B4" s="61" t="s">
        <v>70</v>
      </c>
      <c r="C4" s="61">
        <v>1</v>
      </c>
      <c r="D4" s="18" t="s">
        <v>314</v>
      </c>
      <c r="E4" s="18" t="s">
        <v>97</v>
      </c>
      <c r="F4" s="18" t="s">
        <v>2</v>
      </c>
    </row>
    <row r="5" spans="2:6" ht="28.5" hidden="1">
      <c r="B5" s="61" t="s">
        <v>178</v>
      </c>
      <c r="C5" s="61">
        <v>3</v>
      </c>
      <c r="D5" s="18" t="s">
        <v>327</v>
      </c>
      <c r="E5" s="18" t="s">
        <v>97</v>
      </c>
      <c r="F5" s="18" t="s">
        <v>2</v>
      </c>
    </row>
    <row r="6" spans="2:6" ht="28.5" hidden="1">
      <c r="B6" s="61" t="s">
        <v>95</v>
      </c>
      <c r="C6" s="61">
        <v>1</v>
      </c>
      <c r="D6" s="18" t="s">
        <v>327</v>
      </c>
      <c r="E6" s="18" t="s">
        <v>97</v>
      </c>
      <c r="F6" s="18" t="s">
        <v>2</v>
      </c>
    </row>
    <row r="7" spans="2:6" ht="14.25" hidden="1">
      <c r="B7" s="61" t="s">
        <v>71</v>
      </c>
      <c r="C7" s="61">
        <v>3</v>
      </c>
      <c r="D7" s="18" t="s">
        <v>317</v>
      </c>
      <c r="E7" s="18" t="s">
        <v>99</v>
      </c>
      <c r="F7" s="18" t="s">
        <v>2</v>
      </c>
    </row>
    <row r="8" spans="2:6" ht="14.25" hidden="1">
      <c r="B8" s="61" t="s">
        <v>72</v>
      </c>
      <c r="C8" s="61">
        <v>1</v>
      </c>
      <c r="D8" s="18" t="s">
        <v>317</v>
      </c>
      <c r="E8" s="18" t="s">
        <v>99</v>
      </c>
      <c r="F8" s="18" t="s">
        <v>2</v>
      </c>
    </row>
    <row r="9" spans="2:6" ht="14.25" hidden="1">
      <c r="B9" s="61" t="s">
        <v>179</v>
      </c>
      <c r="C9" s="61">
        <v>1</v>
      </c>
      <c r="D9" s="18" t="s">
        <v>317</v>
      </c>
      <c r="E9" s="18" t="s">
        <v>99</v>
      </c>
      <c r="F9" s="18" t="s">
        <v>2</v>
      </c>
    </row>
    <row r="10" spans="2:6" ht="14.25" hidden="1">
      <c r="B10" s="61" t="s">
        <v>180</v>
      </c>
      <c r="C10" s="61">
        <v>15</v>
      </c>
      <c r="D10" s="18" t="s">
        <v>325</v>
      </c>
      <c r="E10" s="18" t="s">
        <v>99</v>
      </c>
      <c r="F10" s="18" t="s">
        <v>2</v>
      </c>
    </row>
    <row r="11" spans="2:6" ht="14.25" hidden="1">
      <c r="B11" s="61" t="s">
        <v>181</v>
      </c>
      <c r="C11" s="61">
        <v>7.5</v>
      </c>
      <c r="D11" s="18" t="s">
        <v>325</v>
      </c>
      <c r="E11" s="18" t="s">
        <v>99</v>
      </c>
      <c r="F11" s="18" t="s">
        <v>2</v>
      </c>
    </row>
    <row r="12" spans="2:6" ht="14.25" hidden="1">
      <c r="B12" s="61" t="s">
        <v>73</v>
      </c>
      <c r="C12" s="61">
        <v>20</v>
      </c>
      <c r="D12" s="18" t="s">
        <v>325</v>
      </c>
      <c r="E12" s="18" t="s">
        <v>99</v>
      </c>
      <c r="F12" s="18" t="s">
        <v>2</v>
      </c>
    </row>
    <row r="13" spans="2:6" ht="14.25" hidden="1">
      <c r="B13" s="61" t="s">
        <v>74</v>
      </c>
      <c r="C13" s="61">
        <v>10</v>
      </c>
      <c r="D13" s="18" t="s">
        <v>325</v>
      </c>
      <c r="E13" s="18" t="s">
        <v>99</v>
      </c>
      <c r="F13" s="18" t="s">
        <v>2</v>
      </c>
    </row>
    <row r="14" spans="2:6" ht="14.25" hidden="1">
      <c r="B14" s="61" t="s">
        <v>75</v>
      </c>
      <c r="C14" s="64">
        <v>30</v>
      </c>
      <c r="D14" s="18" t="s">
        <v>325</v>
      </c>
      <c r="E14" s="18" t="s">
        <v>99</v>
      </c>
      <c r="F14" s="18" t="s">
        <v>2</v>
      </c>
    </row>
    <row r="15" spans="2:6" ht="16.5" hidden="1">
      <c r="B15" s="72" t="s">
        <v>529</v>
      </c>
      <c r="C15" s="64">
        <v>15</v>
      </c>
      <c r="D15" s="18" t="s">
        <v>325</v>
      </c>
      <c r="E15" s="18" t="s">
        <v>99</v>
      </c>
      <c r="F15" s="18" t="s">
        <v>2</v>
      </c>
    </row>
    <row r="16" spans="2:6" ht="28.5" hidden="1">
      <c r="B16" s="64" t="s">
        <v>76</v>
      </c>
      <c r="C16" s="64">
        <v>30</v>
      </c>
      <c r="D16" s="18" t="s">
        <v>318</v>
      </c>
      <c r="E16" s="18" t="s">
        <v>97</v>
      </c>
      <c r="F16" s="18" t="s">
        <v>2</v>
      </c>
    </row>
    <row r="17" spans="2:6" ht="28.5" hidden="1">
      <c r="B17" s="64" t="s">
        <v>77</v>
      </c>
      <c r="C17" s="64">
        <v>60</v>
      </c>
      <c r="D17" s="18" t="s">
        <v>318</v>
      </c>
      <c r="E17" s="18" t="s">
        <v>97</v>
      </c>
      <c r="F17" s="18" t="s">
        <v>2</v>
      </c>
    </row>
    <row r="18" spans="2:6" ht="28.5" hidden="1">
      <c r="B18" s="64" t="s">
        <v>78</v>
      </c>
      <c r="C18" s="64">
        <v>120</v>
      </c>
      <c r="D18" s="18" t="s">
        <v>318</v>
      </c>
      <c r="E18" s="18" t="s">
        <v>97</v>
      </c>
      <c r="F18" s="18" t="s">
        <v>2</v>
      </c>
    </row>
    <row r="19" spans="2:6" ht="28.5" hidden="1">
      <c r="B19" s="64" t="s">
        <v>182</v>
      </c>
      <c r="C19" s="64">
        <v>50</v>
      </c>
      <c r="D19" s="18" t="s">
        <v>318</v>
      </c>
      <c r="E19" s="18" t="s">
        <v>97</v>
      </c>
      <c r="F19" s="18" t="s">
        <v>2</v>
      </c>
    </row>
    <row r="20" spans="2:6" ht="28.5" hidden="1">
      <c r="B20" s="64" t="s">
        <v>183</v>
      </c>
      <c r="C20" s="64">
        <v>100</v>
      </c>
      <c r="D20" s="18" t="s">
        <v>318</v>
      </c>
      <c r="E20" s="18" t="s">
        <v>97</v>
      </c>
      <c r="F20" s="18" t="s">
        <v>2</v>
      </c>
    </row>
    <row r="21" spans="2:6" ht="28.5" hidden="1">
      <c r="B21" s="64" t="s">
        <v>79</v>
      </c>
      <c r="C21" s="64">
        <v>200</v>
      </c>
      <c r="D21" s="18" t="s">
        <v>318</v>
      </c>
      <c r="E21" s="18" t="s">
        <v>97</v>
      </c>
      <c r="F21" s="18" t="s">
        <v>2</v>
      </c>
    </row>
    <row r="22" spans="2:6" ht="28.5" hidden="1">
      <c r="B22" s="64" t="s">
        <v>80</v>
      </c>
      <c r="C22" s="64">
        <v>30</v>
      </c>
      <c r="D22" s="18" t="s">
        <v>318</v>
      </c>
      <c r="E22" s="18" t="s">
        <v>97</v>
      </c>
      <c r="F22" s="18" t="s">
        <v>2</v>
      </c>
    </row>
    <row r="23" spans="2:6" ht="28.5" hidden="1">
      <c r="B23" s="64" t="s">
        <v>184</v>
      </c>
      <c r="C23" s="64">
        <v>2</v>
      </c>
      <c r="D23" s="18" t="s">
        <v>314</v>
      </c>
      <c r="E23" s="18" t="s">
        <v>97</v>
      </c>
      <c r="F23" s="18" t="s">
        <v>2</v>
      </c>
    </row>
    <row r="24" spans="2:6" ht="28.5" hidden="1">
      <c r="B24" s="64" t="s">
        <v>185</v>
      </c>
      <c r="C24" s="64">
        <v>1</v>
      </c>
      <c r="D24" s="18" t="s">
        <v>314</v>
      </c>
      <c r="E24" s="18" t="s">
        <v>97</v>
      </c>
      <c r="F24" s="18" t="s">
        <v>2</v>
      </c>
    </row>
    <row r="25" spans="2:6" ht="28.5" hidden="1">
      <c r="B25" s="64" t="s">
        <v>81</v>
      </c>
      <c r="C25" s="64">
        <v>1</v>
      </c>
      <c r="D25" s="18" t="s">
        <v>314</v>
      </c>
      <c r="E25" s="18" t="s">
        <v>97</v>
      </c>
      <c r="F25" s="18" t="s">
        <v>2</v>
      </c>
    </row>
    <row r="26" spans="2:6" ht="14.25" hidden="1">
      <c r="B26" s="64" t="s">
        <v>82</v>
      </c>
      <c r="C26" s="64">
        <v>3</v>
      </c>
      <c r="D26" s="18" t="s">
        <v>317</v>
      </c>
      <c r="E26" s="18" t="s">
        <v>99</v>
      </c>
      <c r="F26" s="18" t="s">
        <v>2</v>
      </c>
    </row>
    <row r="27" spans="2:6" ht="14.25" hidden="1">
      <c r="B27" s="64" t="s">
        <v>83</v>
      </c>
      <c r="C27" s="64">
        <v>1</v>
      </c>
      <c r="D27" s="18" t="s">
        <v>317</v>
      </c>
      <c r="E27" s="18" t="s">
        <v>99</v>
      </c>
      <c r="F27" s="18" t="s">
        <v>2</v>
      </c>
    </row>
    <row r="28" spans="2:6" ht="14.25" hidden="1">
      <c r="B28" s="64" t="s">
        <v>84</v>
      </c>
      <c r="C28" s="64">
        <v>2</v>
      </c>
      <c r="D28" s="18" t="s">
        <v>317</v>
      </c>
      <c r="E28" s="18" t="s">
        <v>99</v>
      </c>
      <c r="F28" s="18" t="s">
        <v>2</v>
      </c>
    </row>
    <row r="29" spans="2:6" ht="14.25" hidden="1">
      <c r="B29" s="64" t="s">
        <v>85</v>
      </c>
      <c r="C29" s="64">
        <v>3</v>
      </c>
      <c r="D29" s="18" t="s">
        <v>328</v>
      </c>
      <c r="E29" s="18" t="s">
        <v>99</v>
      </c>
      <c r="F29" s="18" t="s">
        <v>2</v>
      </c>
    </row>
    <row r="30" spans="2:6" ht="14.25" hidden="1">
      <c r="B30" s="64" t="s">
        <v>86</v>
      </c>
      <c r="C30" s="64">
        <v>5</v>
      </c>
      <c r="D30" s="18" t="s">
        <v>328</v>
      </c>
      <c r="E30" s="18" t="s">
        <v>99</v>
      </c>
      <c r="F30" s="18" t="s">
        <v>2</v>
      </c>
    </row>
    <row r="31" spans="2:6" ht="14.25" hidden="1">
      <c r="B31" s="64" t="s">
        <v>87</v>
      </c>
      <c r="C31" s="64">
        <v>10</v>
      </c>
      <c r="D31" s="18" t="s">
        <v>323</v>
      </c>
      <c r="E31" s="18" t="s">
        <v>99</v>
      </c>
      <c r="F31" s="18" t="s">
        <v>2</v>
      </c>
    </row>
    <row r="32" spans="2:6" ht="14.25" hidden="1">
      <c r="B32" s="64" t="s">
        <v>98</v>
      </c>
      <c r="C32" s="64">
        <v>2</v>
      </c>
      <c r="D32" s="18" t="s">
        <v>318</v>
      </c>
      <c r="E32" s="18" t="s">
        <v>99</v>
      </c>
      <c r="F32" s="18" t="s">
        <v>2</v>
      </c>
    </row>
    <row r="33" spans="2:6" ht="14.25" hidden="1">
      <c r="B33" s="64" t="s">
        <v>88</v>
      </c>
      <c r="C33" s="64">
        <v>5</v>
      </c>
      <c r="D33" s="18" t="s">
        <v>315</v>
      </c>
      <c r="E33" s="18" t="s">
        <v>99</v>
      </c>
      <c r="F33" s="18" t="s">
        <v>2</v>
      </c>
    </row>
    <row r="34" spans="2:6" ht="14.25" hidden="1">
      <c r="B34" s="64" t="s">
        <v>89</v>
      </c>
      <c r="C34" s="64">
        <v>10</v>
      </c>
      <c r="D34" s="18" t="s">
        <v>315</v>
      </c>
      <c r="E34" s="18" t="s">
        <v>99</v>
      </c>
      <c r="F34" s="18" t="s">
        <v>2</v>
      </c>
    </row>
    <row r="35" spans="2:6" ht="14.25" hidden="1">
      <c r="B35" s="64" t="s">
        <v>90</v>
      </c>
      <c r="C35" s="64">
        <v>15</v>
      </c>
      <c r="D35" s="18" t="s">
        <v>315</v>
      </c>
      <c r="E35" s="18" t="s">
        <v>99</v>
      </c>
      <c r="F35" s="18" t="s">
        <v>2</v>
      </c>
    </row>
    <row r="36" spans="2:6" ht="28.5" hidden="1">
      <c r="B36" s="64" t="s">
        <v>91</v>
      </c>
      <c r="C36" s="64">
        <v>1</v>
      </c>
      <c r="D36" s="18" t="s">
        <v>314</v>
      </c>
      <c r="E36" s="18" t="s">
        <v>97</v>
      </c>
      <c r="F36" s="18" t="s">
        <v>2</v>
      </c>
    </row>
    <row r="37" spans="2:6" ht="28.5" hidden="1">
      <c r="B37" s="64" t="s">
        <v>92</v>
      </c>
      <c r="C37" s="64">
        <v>1</v>
      </c>
      <c r="D37" s="18" t="s">
        <v>314</v>
      </c>
      <c r="E37" s="18" t="s">
        <v>97</v>
      </c>
      <c r="F37" s="18" t="s">
        <v>2</v>
      </c>
    </row>
    <row r="38" spans="2:6" ht="28.5" hidden="1">
      <c r="B38" s="64" t="s">
        <v>93</v>
      </c>
      <c r="C38" s="64">
        <v>1</v>
      </c>
      <c r="D38" s="18" t="s">
        <v>314</v>
      </c>
      <c r="E38" s="18" t="s">
        <v>97</v>
      </c>
      <c r="F38" s="18" t="s">
        <v>2</v>
      </c>
    </row>
    <row r="39" spans="2:6" ht="28.5" hidden="1">
      <c r="B39" s="64" t="s">
        <v>186</v>
      </c>
      <c r="C39" s="64">
        <v>1</v>
      </c>
      <c r="D39" s="18" t="s">
        <v>314</v>
      </c>
      <c r="E39" s="18" t="s">
        <v>97</v>
      </c>
      <c r="F39" s="18" t="s">
        <v>2</v>
      </c>
    </row>
    <row r="40" spans="2:6" ht="28.5" hidden="1">
      <c r="B40" s="64" t="s">
        <v>94</v>
      </c>
      <c r="C40" s="64">
        <v>1</v>
      </c>
      <c r="D40" s="18" t="s">
        <v>314</v>
      </c>
      <c r="E40" s="18" t="s">
        <v>97</v>
      </c>
      <c r="F40" s="18" t="s">
        <v>2</v>
      </c>
    </row>
    <row r="41" spans="2:6" ht="28.5" hidden="1">
      <c r="B41" s="64" t="s">
        <v>187</v>
      </c>
      <c r="C41" s="64">
        <v>1</v>
      </c>
      <c r="D41" s="18" t="s">
        <v>314</v>
      </c>
      <c r="E41" s="18" t="s">
        <v>97</v>
      </c>
      <c r="F41" s="18" t="s">
        <v>2</v>
      </c>
    </row>
    <row r="42" ht="14.25" hidden="1"/>
    <row r="43" spans="1:11" ht="25.5" customHeight="1">
      <c r="A43" s="319" t="s">
        <v>292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</row>
    <row r="44" spans="1:11" ht="12.75" customHeight="1">
      <c r="A44" s="22" t="s">
        <v>23</v>
      </c>
      <c r="B44" s="310" t="str">
        <f>ข้อมูลผู้กรอกและสรุปภาระงาน!B11</f>
        <v>ชื่ออาจารย์</v>
      </c>
      <c r="C44" s="310"/>
      <c r="D44" s="331" t="s">
        <v>4</v>
      </c>
      <c r="E44" s="332"/>
      <c r="F44" s="62"/>
      <c r="H44" s="26"/>
      <c r="I44" s="59">
        <f>SUM(G50:G755)+SUM(H50:H755)/26</f>
        <v>0</v>
      </c>
      <c r="J44" s="27"/>
      <c r="K44" s="28"/>
    </row>
    <row r="45" spans="1:11" ht="12.75" customHeight="1">
      <c r="A45" s="29" t="s">
        <v>22</v>
      </c>
      <c r="B45" s="310" t="str">
        <f>ข้อมูลผู้กรอกและสรุปภาระงาน!B12</f>
        <v>ชื่อภาควิชา</v>
      </c>
      <c r="C45" s="310"/>
      <c r="D45" s="333"/>
      <c r="E45" s="334"/>
      <c r="F45" s="24"/>
      <c r="G45" s="337"/>
      <c r="H45" s="337"/>
      <c r="I45" s="337"/>
      <c r="J45" s="27"/>
      <c r="K45" s="28"/>
    </row>
    <row r="46" spans="1:11" ht="12.75" customHeight="1">
      <c r="A46" s="29" t="s">
        <v>153</v>
      </c>
      <c r="B46" s="310" t="str">
        <f>ข้อมูลผู้กรอกและสรุปภาระงาน!B16</f>
        <v>รอบที่ 2 เดือนกุมภาพันธ์ 2563 - กรกฎาคม 2563</v>
      </c>
      <c r="C46" s="310"/>
      <c r="D46" s="58"/>
      <c r="E46" s="31"/>
      <c r="F46" s="31"/>
      <c r="G46" s="33"/>
      <c r="H46" s="33"/>
      <c r="I46" s="33"/>
      <c r="J46" s="33"/>
      <c r="K46" s="28"/>
    </row>
    <row r="48" spans="1:11" s="39" customFormat="1" ht="15">
      <c r="A48" s="320" t="s">
        <v>1</v>
      </c>
      <c r="B48" s="320" t="s">
        <v>334</v>
      </c>
      <c r="C48" s="328" t="s">
        <v>311</v>
      </c>
      <c r="D48" s="328"/>
      <c r="E48" s="328"/>
      <c r="F48" s="328"/>
      <c r="G48" s="312" t="s">
        <v>7</v>
      </c>
      <c r="H48" s="314"/>
      <c r="I48" s="312" t="s">
        <v>319</v>
      </c>
      <c r="J48" s="313"/>
      <c r="K48" s="314"/>
    </row>
    <row r="49" spans="1:11" s="39" customFormat="1" ht="27.75" customHeight="1">
      <c r="A49" s="321"/>
      <c r="B49" s="321"/>
      <c r="C49" s="41" t="s">
        <v>7</v>
      </c>
      <c r="D49" s="312" t="s">
        <v>330</v>
      </c>
      <c r="E49" s="314"/>
      <c r="F49" s="38" t="s">
        <v>2</v>
      </c>
      <c r="G49" s="42" t="s">
        <v>16</v>
      </c>
      <c r="H49" s="43" t="s">
        <v>17</v>
      </c>
      <c r="I49" s="312" t="s">
        <v>5</v>
      </c>
      <c r="J49" s="314"/>
      <c r="K49" s="42" t="s">
        <v>3</v>
      </c>
    </row>
    <row r="50" spans="1:11" ht="14.25">
      <c r="A50" s="44"/>
      <c r="B50" s="45" t="s">
        <v>87</v>
      </c>
      <c r="C50" s="50">
        <f>VLOOKUP(B50,$B$2:$F$42,2,FALSE)</f>
        <v>10</v>
      </c>
      <c r="D50" s="47" t="str">
        <f>VLOOKUP(B50,$B$2:$F$42,3,FALSE)</f>
        <v>ระบุจำนวนเล่ม</v>
      </c>
      <c r="E50" s="48"/>
      <c r="F50" s="53" t="str">
        <f>VLOOKUP(B50,$B$2:$F$42,5,FALSE)</f>
        <v>ภาระงาน</v>
      </c>
      <c r="G50" s="54">
        <f>IF(F50="ต่อสัปดาห์",E50*C50,"")</f>
      </c>
      <c r="H50" s="54">
        <f>IF(F50="ภาระงาน",E50*C50,"")</f>
        <v>0</v>
      </c>
      <c r="I50" s="53" t="str">
        <f>VLOOKUP(B50,$B$2:$F$42,4,FALSE)</f>
        <v>ระบุรายละเอียด</v>
      </c>
      <c r="J50" s="55"/>
      <c r="K50" s="55"/>
    </row>
  </sheetData>
  <sheetProtection/>
  <protectedRanges>
    <protectedRange password="CF57" sqref="K51:K470" name="ช่วง4"/>
    <protectedRange password="CF57" sqref="J51:J470" name="ช่วง3"/>
    <protectedRange password="CF57" sqref="E51:E470" name="ช่วง2"/>
    <protectedRange password="CF57" sqref="A51:A470" name="ช่วง1"/>
    <protectedRange password="CF57" sqref="E50" name="ช่วง2_1"/>
    <protectedRange password="CF57" sqref="A50" name="ช่วง1_1"/>
    <protectedRange password="CF57" sqref="J50:K50" name="ช่วง3_3"/>
  </protectedRanges>
  <mergeCells count="14">
    <mergeCell ref="A43:K43"/>
    <mergeCell ref="B44:C44"/>
    <mergeCell ref="D44:E44"/>
    <mergeCell ref="B45:C45"/>
    <mergeCell ref="D45:E45"/>
    <mergeCell ref="G45:I45"/>
    <mergeCell ref="B46:C46"/>
    <mergeCell ref="A48:A49"/>
    <mergeCell ref="B48:B49"/>
    <mergeCell ref="D49:E49"/>
    <mergeCell ref="I49:J49"/>
    <mergeCell ref="G48:H48"/>
    <mergeCell ref="C48:F48"/>
    <mergeCell ref="I48:K48"/>
  </mergeCells>
  <dataValidations count="1">
    <dataValidation type="list" allowBlank="1" showInputMessage="1" showErrorMessage="1" sqref="B50">
      <formula1>INDIRECT(ภาระงานบริการวิชาการแก่สังคม)</formula1>
    </dataValidation>
  </dataValidations>
  <printOptions/>
  <pageMargins left="0.1968503937007874" right="0.1968503937007874" top="0.4330708661417323" bottom="0.35433070866141736" header="0.15748031496062992" footer="0.15748031496062992"/>
  <pageSetup fitToHeight="5" fitToWidth="1" horizontalDpi="300" verticalDpi="300" orientation="landscape" paperSize="9" scale="87" r:id="rId1"/>
  <headerFooter alignWithMargins="0">
    <oddFooter>&amp;L&amp;Z&amp;F : แผ่นงาน ; 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15"/>
  <sheetViews>
    <sheetView zoomScale="115" zoomScaleNormal="115" zoomScalePageLayoutView="0" workbookViewId="0" topLeftCell="A4">
      <selection activeCell="E11" sqref="E11"/>
    </sheetView>
  </sheetViews>
  <sheetFormatPr defaultColWidth="9.140625" defaultRowHeight="12.75"/>
  <cols>
    <col min="1" max="1" width="12.28125" style="18" customWidth="1"/>
    <col min="2" max="2" width="42.00390625" style="18" customWidth="1"/>
    <col min="3" max="3" width="10.140625" style="18" hidden="1" customWidth="1"/>
    <col min="4" max="4" width="17.00390625" style="18" customWidth="1"/>
    <col min="5" max="5" width="7.7109375" style="18" customWidth="1"/>
    <col min="6" max="8" width="10.140625" style="18" hidden="1" customWidth="1"/>
    <col min="9" max="9" width="20.57421875" style="18" customWidth="1"/>
    <col min="10" max="10" width="31.00390625" style="18" customWidth="1"/>
    <col min="11" max="11" width="18.28125" style="18" customWidth="1"/>
    <col min="12" max="12" width="16.00390625" style="18" customWidth="1"/>
    <col min="13" max="16384" width="9.140625" style="18" customWidth="1"/>
  </cols>
  <sheetData>
    <row r="1" spans="2:6" ht="14.25" hidden="1">
      <c r="B1" s="18" t="s">
        <v>8</v>
      </c>
      <c r="C1" s="18" t="s">
        <v>66</v>
      </c>
      <c r="D1" s="18" t="s">
        <v>67</v>
      </c>
      <c r="F1" s="18" t="s">
        <v>6</v>
      </c>
    </row>
    <row r="2" spans="2:6" ht="42.75" hidden="1">
      <c r="B2" s="61" t="s">
        <v>68</v>
      </c>
      <c r="C2" s="61">
        <v>1</v>
      </c>
      <c r="D2" s="18" t="s">
        <v>314</v>
      </c>
      <c r="E2" s="18" t="s">
        <v>69</v>
      </c>
      <c r="F2" s="18" t="s">
        <v>2</v>
      </c>
    </row>
    <row r="3" ht="14.25" hidden="1"/>
    <row r="4" spans="1:11" ht="25.5" customHeight="1">
      <c r="A4" s="319" t="s">
        <v>293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1:11" ht="12.75" customHeight="1">
      <c r="A5" s="22" t="s">
        <v>23</v>
      </c>
      <c r="B5" s="310" t="str">
        <f>ข้อมูลผู้กรอกและสรุปภาระงาน!B11</f>
        <v>ชื่ออาจารย์</v>
      </c>
      <c r="C5" s="310"/>
      <c r="D5" s="65" t="s">
        <v>4</v>
      </c>
      <c r="E5" s="59">
        <f>SUM(G11:G757)+SUM(H11:H757)/26</f>
        <v>0</v>
      </c>
      <c r="F5" s="66"/>
      <c r="H5" s="67"/>
      <c r="J5" s="27"/>
      <c r="K5" s="28"/>
    </row>
    <row r="6" spans="1:11" ht="12.75" customHeight="1">
      <c r="A6" s="29" t="s">
        <v>22</v>
      </c>
      <c r="B6" s="310" t="str">
        <f>ข้อมูลผู้กรอกและสรุปภาระงาน!B12</f>
        <v>ชื่อภาควิชา</v>
      </c>
      <c r="C6" s="310"/>
      <c r="D6" s="333"/>
      <c r="E6" s="334"/>
      <c r="F6" s="24"/>
      <c r="G6" s="337"/>
      <c r="H6" s="337"/>
      <c r="I6" s="337"/>
      <c r="J6" s="27"/>
      <c r="K6" s="28"/>
    </row>
    <row r="7" spans="1:11" ht="12.75" customHeight="1">
      <c r="A7" s="29" t="s">
        <v>153</v>
      </c>
      <c r="B7" s="310" t="str">
        <f>ข้อมูลผู้กรอกและสรุปภาระงาน!B16</f>
        <v>รอบที่ 2 เดือนกุมภาพันธ์ 2563 - กรกฎาคม 2563</v>
      </c>
      <c r="C7" s="310"/>
      <c r="D7" s="58"/>
      <c r="E7" s="31"/>
      <c r="F7" s="31"/>
      <c r="G7" s="33"/>
      <c r="H7" s="33"/>
      <c r="I7" s="33"/>
      <c r="J7" s="33"/>
      <c r="K7" s="28"/>
    </row>
    <row r="9" spans="1:11" s="39" customFormat="1" ht="15">
      <c r="A9" s="320" t="s">
        <v>1</v>
      </c>
      <c r="B9" s="320" t="s">
        <v>333</v>
      </c>
      <c r="C9" s="328" t="s">
        <v>311</v>
      </c>
      <c r="D9" s="328"/>
      <c r="E9" s="328"/>
      <c r="F9" s="328"/>
      <c r="G9" s="313" t="s">
        <v>7</v>
      </c>
      <c r="H9" s="314"/>
      <c r="I9" s="312" t="s">
        <v>319</v>
      </c>
      <c r="J9" s="313"/>
      <c r="K9" s="314"/>
    </row>
    <row r="10" spans="1:11" s="39" customFormat="1" ht="28.5" customHeight="1">
      <c r="A10" s="321"/>
      <c r="B10" s="321"/>
      <c r="C10" s="41" t="s">
        <v>7</v>
      </c>
      <c r="D10" s="312" t="s">
        <v>330</v>
      </c>
      <c r="E10" s="314"/>
      <c r="F10" s="38" t="s">
        <v>2</v>
      </c>
      <c r="G10" s="42" t="s">
        <v>16</v>
      </c>
      <c r="H10" s="43" t="s">
        <v>17</v>
      </c>
      <c r="I10" s="312" t="s">
        <v>5</v>
      </c>
      <c r="J10" s="314"/>
      <c r="K10" s="42" t="s">
        <v>3</v>
      </c>
    </row>
    <row r="11" spans="1:11" ht="15">
      <c r="A11" s="44"/>
      <c r="B11" s="45" t="s">
        <v>68</v>
      </c>
      <c r="C11" s="50">
        <f>VLOOKUP(B11,$B$2:$F$3,2,FALSE)</f>
        <v>1</v>
      </c>
      <c r="D11" s="47" t="str">
        <f>VLOOKUP(B11,$B$2:$F$2,3,FALSE)</f>
        <v>ระบุจำนวนชั่วโมง</v>
      </c>
      <c r="E11" s="48"/>
      <c r="F11" s="53" t="str">
        <f>VLOOKUP(B11,$B$2:$F$3,5,FALSE)</f>
        <v>ภาระงาน</v>
      </c>
      <c r="G11" s="54">
        <f>IF(F11="ต่อสัปดาห์",E11*C11,"")</f>
      </c>
      <c r="H11" s="54">
        <f>IF(F11="ภาระงาน",E11*C11,"")</f>
        <v>0</v>
      </c>
      <c r="I11" s="53" t="str">
        <f>VLOOKUP(B11,$B$2:$F$3,4,FALSE)</f>
        <v>ระบุวันเวลาและชื่อโครงการ</v>
      </c>
      <c r="J11" s="69"/>
      <c r="K11" s="55"/>
    </row>
    <row r="15" ht="16.5">
      <c r="B15" s="73"/>
    </row>
  </sheetData>
  <sheetProtection/>
  <protectedRanges>
    <protectedRange password="CF57" sqref="K11:K472" name="ช่วง4"/>
    <protectedRange password="CF57" sqref="J12:J472" name="ช่วง3"/>
    <protectedRange password="CF57" sqref="E11:E472" name="ช่วง2"/>
    <protectedRange password="CF57" sqref="A11:A472" name="ช่วง1"/>
    <protectedRange password="CF57" sqref="J11" name="ช่วง3_1"/>
  </protectedRanges>
  <mergeCells count="13">
    <mergeCell ref="B7:C7"/>
    <mergeCell ref="A4:K4"/>
    <mergeCell ref="B5:C5"/>
    <mergeCell ref="B6:C6"/>
    <mergeCell ref="D6:E6"/>
    <mergeCell ref="G6:I6"/>
    <mergeCell ref="I10:J10"/>
    <mergeCell ref="A9:A10"/>
    <mergeCell ref="B9:B10"/>
    <mergeCell ref="D10:E10"/>
    <mergeCell ref="G9:H9"/>
    <mergeCell ref="C9:F9"/>
    <mergeCell ref="I9:K9"/>
  </mergeCells>
  <dataValidations count="1">
    <dataValidation type="list" allowBlank="1" showInputMessage="1" showErrorMessage="1" sqref="B11">
      <formula1>INDIRECT(ภาระงานทำนุบำรุงศิลปวัฒนธรรม)</formula1>
    </dataValidation>
  </dataValidations>
  <printOptions/>
  <pageMargins left="0.1968503937007874" right="0.1968503937007874" top="0.4724409448818898" bottom="0.3937007874015748" header="0.2362204724409449" footer="0.15748031496062992"/>
  <pageSetup fitToHeight="10" fitToWidth="1" horizontalDpi="300" verticalDpi="300" orientation="landscape" paperSize="9" scale="98" r:id="rId1"/>
  <headerFooter alignWithMargins="0">
    <oddFooter>&amp;L&amp;Z&amp;F : แผ่นงาน ;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Ophast1</cp:lastModifiedBy>
  <cp:lastPrinted>2019-08-14T01:46:35Z</cp:lastPrinted>
  <dcterms:created xsi:type="dcterms:W3CDTF">2008-08-18T05:57:30Z</dcterms:created>
  <dcterms:modified xsi:type="dcterms:W3CDTF">2021-01-28T07:13:35Z</dcterms:modified>
  <cp:category/>
  <cp:version/>
  <cp:contentType/>
  <cp:contentStatus/>
</cp:coreProperties>
</file>